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8145" tabRatio="863" activeTab="2"/>
  </bookViews>
  <sheets>
    <sheet name="Votes" sheetId="1" r:id="rId1"/>
    <sheet name="Be Heard Graph" sheetId="45" r:id="rId2"/>
    <sheet name="ANALYSIS" sheetId="44" r:id="rId3"/>
    <sheet name="group 1 " sheetId="25" r:id="rId4"/>
    <sheet name="group 2 " sheetId="26" r:id="rId5"/>
    <sheet name="group 3 " sheetId="27" r:id="rId6"/>
    <sheet name="group 4 " sheetId="28" r:id="rId7"/>
    <sheet name="group 5 " sheetId="24" r:id="rId8"/>
    <sheet name="group 6 " sheetId="29" r:id="rId9"/>
    <sheet name="group 7 " sheetId="30" r:id="rId10"/>
    <sheet name="group 8 " sheetId="31" r:id="rId11"/>
    <sheet name="group 9 " sheetId="32" r:id="rId12"/>
    <sheet name="group 10 " sheetId="33" r:id="rId13"/>
    <sheet name="group 11 " sheetId="34" r:id="rId14"/>
    <sheet name="group 12 " sheetId="35" r:id="rId15"/>
    <sheet name="group 13 " sheetId="36" r:id="rId16"/>
    <sheet name="group 14 " sheetId="37" r:id="rId17"/>
    <sheet name="group 15 " sheetId="38" r:id="rId18"/>
    <sheet name="group 16 " sheetId="39" r:id="rId19"/>
    <sheet name="group 17 " sheetId="40" r:id="rId20"/>
    <sheet name="group 18 " sheetId="41" r:id="rId21"/>
    <sheet name="group 19 " sheetId="42" r:id="rId22"/>
    <sheet name="group 20 " sheetId="43" r:id="rId23"/>
    <sheet name="Feuil1" sheetId="46" r:id="rId24"/>
  </sheets>
  <externalReferences>
    <externalReference r:id="rId25"/>
  </externalReferences>
  <definedNames>
    <definedName name="_xlnm.Print_Area" localSheetId="2">ANALYSIS!$A$1:$V$31</definedName>
    <definedName name="_xlnm.Print_Area" localSheetId="0">Votes!$A$1:$P$211</definedName>
  </definedNames>
  <calcPr calcId="145621"/>
</workbook>
</file>

<file path=xl/calcChain.xml><?xml version="1.0" encoding="utf-8"?>
<calcChain xmlns="http://schemas.openxmlformats.org/spreadsheetml/2006/main">
  <c r="G13" i="24" l="1"/>
  <c r="E34" i="45" l="1"/>
  <c r="E33" i="45"/>
  <c r="E35" i="45" s="1"/>
  <c r="C34" i="45"/>
  <c r="C33" i="45"/>
  <c r="L209" i="1"/>
  <c r="J209" i="1"/>
  <c r="H209" i="1"/>
  <c r="F209" i="1"/>
  <c r="F222" i="1"/>
  <c r="F221" i="1"/>
  <c r="F220" i="1"/>
  <c r="F219" i="1"/>
  <c r="E222" i="1"/>
  <c r="E221" i="1"/>
  <c r="E220" i="1"/>
  <c r="E219" i="1"/>
  <c r="L210" i="1"/>
  <c r="J210" i="1"/>
  <c r="H210" i="1"/>
  <c r="F210" i="1"/>
  <c r="C35" i="45" l="1"/>
  <c r="L208" i="1" l="1"/>
  <c r="J208" i="1"/>
  <c r="H208" i="1"/>
  <c r="F208" i="1"/>
  <c r="S207" i="1"/>
  <c r="T207" i="1"/>
  <c r="Q2" i="1"/>
  <c r="R207" i="1"/>
  <c r="Q207" i="1"/>
  <c r="T2" i="1"/>
  <c r="S2" i="1"/>
  <c r="R2" i="1"/>
  <c r="L207" i="1"/>
  <c r="L211" i="1" s="1"/>
  <c r="J207" i="1"/>
  <c r="J211" i="1" s="1"/>
  <c r="H207" i="1"/>
  <c r="H211" i="1" s="1"/>
  <c r="F207" i="1"/>
  <c r="F211" i="1" s="1"/>
  <c r="O205" i="1"/>
  <c r="M205" i="1"/>
  <c r="K205" i="1"/>
  <c r="I205" i="1"/>
  <c r="G205" i="1"/>
  <c r="N205" i="1"/>
  <c r="L205" i="1"/>
  <c r="J205" i="1"/>
  <c r="H205" i="1"/>
  <c r="F205" i="1"/>
  <c r="E205" i="1"/>
  <c r="V27" i="44"/>
  <c r="H27" i="44"/>
  <c r="Q27" i="44"/>
  <c r="Q29" i="44" s="1"/>
  <c r="P27" i="44"/>
  <c r="P29" i="44" s="1"/>
  <c r="O27" i="44"/>
  <c r="O29" i="44" s="1"/>
  <c r="N27" i="44"/>
  <c r="N29" i="44" s="1"/>
  <c r="M27" i="44"/>
  <c r="M29" i="44" s="1"/>
  <c r="L27" i="44"/>
  <c r="L29" i="44" s="1"/>
  <c r="K27" i="44"/>
  <c r="K29" i="44" s="1"/>
  <c r="J27" i="44"/>
  <c r="J29" i="44" s="1"/>
  <c r="D27" i="44"/>
  <c r="D29" i="44" s="1"/>
  <c r="E27" i="44"/>
  <c r="E29" i="44" s="1"/>
  <c r="F27" i="44"/>
  <c r="F29" i="44" s="1"/>
  <c r="G27" i="44"/>
  <c r="G29" i="44" s="1"/>
  <c r="R25" i="44"/>
  <c r="S25" i="44"/>
  <c r="T25" i="44"/>
  <c r="U25" i="44"/>
  <c r="R26" i="44"/>
  <c r="S26" i="44"/>
  <c r="T26" i="44"/>
  <c r="U26" i="44"/>
  <c r="C26" i="44"/>
  <c r="I25" i="44"/>
  <c r="I26" i="44"/>
  <c r="R20" i="44"/>
  <c r="S20" i="44"/>
  <c r="T20" i="44"/>
  <c r="U20" i="44"/>
  <c r="R21" i="44"/>
  <c r="S21" i="44"/>
  <c r="T21" i="44"/>
  <c r="U21" i="44"/>
  <c r="R22" i="44"/>
  <c r="S22" i="44"/>
  <c r="T22" i="44"/>
  <c r="U22" i="44"/>
  <c r="R23" i="44"/>
  <c r="S23" i="44"/>
  <c r="T23" i="44"/>
  <c r="U23" i="44"/>
  <c r="R24" i="44"/>
  <c r="S24" i="44"/>
  <c r="T24" i="44"/>
  <c r="U24" i="44"/>
  <c r="U19" i="44"/>
  <c r="I20" i="44"/>
  <c r="I21" i="44"/>
  <c r="I22" i="44"/>
  <c r="I23" i="44"/>
  <c r="I24" i="44"/>
  <c r="C19" i="44"/>
  <c r="C20" i="44"/>
  <c r="C21" i="44"/>
  <c r="C22" i="44"/>
  <c r="C23" i="44"/>
  <c r="C24" i="44"/>
  <c r="C25" i="44"/>
  <c r="I19" i="44"/>
  <c r="R19" i="44"/>
  <c r="T19" i="44"/>
  <c r="S19" i="44"/>
  <c r="R13" i="44"/>
  <c r="S13" i="44"/>
  <c r="T13" i="44"/>
  <c r="U13" i="44"/>
  <c r="R14" i="44"/>
  <c r="S14" i="44"/>
  <c r="T14" i="44"/>
  <c r="U14" i="44"/>
  <c r="R15" i="44"/>
  <c r="S15" i="44"/>
  <c r="T15" i="44"/>
  <c r="U15" i="44"/>
  <c r="R16" i="44"/>
  <c r="S16" i="44"/>
  <c r="T16" i="44"/>
  <c r="U16" i="44"/>
  <c r="R17" i="44"/>
  <c r="S17" i="44"/>
  <c r="T17" i="44"/>
  <c r="U17" i="44"/>
  <c r="R18" i="44"/>
  <c r="S18" i="44"/>
  <c r="T18" i="44"/>
  <c r="U18" i="44"/>
  <c r="I14" i="44"/>
  <c r="I15" i="44"/>
  <c r="I16" i="44"/>
  <c r="I17" i="44"/>
  <c r="I18" i="44"/>
  <c r="C13" i="44"/>
  <c r="C14" i="44"/>
  <c r="C15" i="44"/>
  <c r="C16" i="44"/>
  <c r="C17" i="44"/>
  <c r="C18" i="44"/>
  <c r="R12" i="44"/>
  <c r="S12" i="44"/>
  <c r="T12" i="44"/>
  <c r="U12" i="44"/>
  <c r="I13" i="44"/>
  <c r="I12" i="44"/>
  <c r="C12" i="44"/>
  <c r="I11" i="44"/>
  <c r="R11" i="44"/>
  <c r="S11" i="44"/>
  <c r="T11" i="44"/>
  <c r="U11" i="44"/>
  <c r="C11" i="44"/>
  <c r="R10" i="44"/>
  <c r="S10" i="44"/>
  <c r="T10" i="44"/>
  <c r="U10" i="44"/>
  <c r="R9" i="44"/>
  <c r="S9" i="44"/>
  <c r="T9" i="44"/>
  <c r="U9" i="44"/>
  <c r="R8" i="44"/>
  <c r="S8" i="44"/>
  <c r="T8" i="44"/>
  <c r="U8" i="44"/>
  <c r="U7" i="44"/>
  <c r="T7" i="44"/>
  <c r="S7" i="44"/>
  <c r="R7" i="44"/>
  <c r="C9" i="44"/>
  <c r="C10" i="44"/>
  <c r="I9" i="44"/>
  <c r="I10" i="44"/>
  <c r="I8" i="44"/>
  <c r="C8" i="44"/>
  <c r="C7" i="44"/>
  <c r="I7" i="44"/>
  <c r="E31" i="43"/>
  <c r="E27" i="43"/>
  <c r="E26" i="43"/>
  <c r="E31" i="42"/>
  <c r="E27" i="42"/>
  <c r="E26" i="42"/>
  <c r="E32" i="42" s="1"/>
  <c r="E31" i="41"/>
  <c r="E27" i="41"/>
  <c r="E32" i="41" s="1"/>
  <c r="E26" i="41"/>
  <c r="E31" i="40"/>
  <c r="E27" i="40"/>
  <c r="E26" i="40"/>
  <c r="E32" i="40" s="1"/>
  <c r="E31" i="39"/>
  <c r="E27" i="39"/>
  <c r="E31" i="38"/>
  <c r="E27" i="38"/>
  <c r="E26" i="38"/>
  <c r="E31" i="37"/>
  <c r="E27" i="37"/>
  <c r="E26" i="37"/>
  <c r="E32" i="37" s="1"/>
  <c r="E31" i="36"/>
  <c r="E27" i="36"/>
  <c r="E26" i="36"/>
  <c r="E31" i="35"/>
  <c r="E27" i="35"/>
  <c r="E26" i="35"/>
  <c r="E32" i="35" s="1"/>
  <c r="E31" i="34"/>
  <c r="E27" i="34"/>
  <c r="E32" i="34" s="1"/>
  <c r="E26" i="34"/>
  <c r="E31" i="33"/>
  <c r="E27" i="33"/>
  <c r="E26" i="33"/>
  <c r="E32" i="33" s="1"/>
  <c r="E31" i="32"/>
  <c r="E27" i="32"/>
  <c r="E26" i="32"/>
  <c r="E31" i="31"/>
  <c r="E27" i="31"/>
  <c r="E26" i="31"/>
  <c r="E32" i="31" s="1"/>
  <c r="E31" i="30"/>
  <c r="E27" i="30"/>
  <c r="E26" i="30"/>
  <c r="E31" i="29"/>
  <c r="E27" i="29"/>
  <c r="E26" i="29"/>
  <c r="E32" i="29" s="1"/>
  <c r="E31" i="24"/>
  <c r="E27" i="24"/>
  <c r="E26" i="24"/>
  <c r="E31" i="28"/>
  <c r="E27" i="28"/>
  <c r="E26" i="28"/>
  <c r="E32" i="28" s="1"/>
  <c r="E31" i="27"/>
  <c r="E27" i="27"/>
  <c r="E26" i="27"/>
  <c r="E31" i="26"/>
  <c r="E27" i="26"/>
  <c r="E26" i="26"/>
  <c r="E32" i="26" s="1"/>
  <c r="E26" i="25"/>
  <c r="E31" i="25"/>
  <c r="E27" i="25"/>
  <c r="E32" i="25" l="1"/>
  <c r="E32" i="27"/>
  <c r="E32" i="24"/>
  <c r="E32" i="30"/>
  <c r="E32" i="32"/>
  <c r="E32" i="36"/>
  <c r="E32" i="38"/>
  <c r="E32" i="43"/>
  <c r="C27" i="44"/>
  <c r="C29" i="44" s="1"/>
  <c r="S27" i="44"/>
  <c r="S29" i="44" s="1"/>
  <c r="U27" i="44"/>
  <c r="U29" i="44" s="1"/>
  <c r="T27" i="44"/>
  <c r="T29" i="44" s="1"/>
  <c r="R27" i="44"/>
  <c r="R29" i="44" s="1"/>
  <c r="I27" i="44"/>
  <c r="I29" i="44" s="1"/>
  <c r="S30" i="44" s="1"/>
  <c r="F30" i="44"/>
  <c r="D30" i="44"/>
  <c r="G30" i="44"/>
  <c r="E30" i="44"/>
  <c r="E32" i="39"/>
  <c r="R30" i="44" l="1"/>
  <c r="U30" i="44"/>
  <c r="T30" i="44"/>
  <c r="K33" i="43"/>
  <c r="G33" i="43"/>
  <c r="O32" i="43"/>
  <c r="N32" i="43"/>
  <c r="M32" i="43"/>
  <c r="L32" i="43"/>
  <c r="K32" i="43"/>
  <c r="J32" i="43"/>
  <c r="I32" i="43"/>
  <c r="H32" i="43"/>
  <c r="G32" i="43"/>
  <c r="F32" i="43"/>
  <c r="K29" i="43"/>
  <c r="I29" i="43"/>
  <c r="G29" i="43"/>
  <c r="L13" i="43" l="1"/>
  <c r="J13" i="43"/>
  <c r="H13" i="43"/>
  <c r="F13" i="43"/>
  <c r="N12" i="43"/>
  <c r="O12" i="43" s="1"/>
  <c r="E12" i="43"/>
  <c r="M12" i="43" s="1"/>
  <c r="N11" i="43"/>
  <c r="N13" i="43" s="1"/>
  <c r="L10" i="43"/>
  <c r="J10" i="43"/>
  <c r="H10" i="43"/>
  <c r="F10" i="43"/>
  <c r="N9" i="43"/>
  <c r="E9" i="43" s="1"/>
  <c r="N8" i="43"/>
  <c r="E8" i="43" s="1"/>
  <c r="N7" i="43"/>
  <c r="L7" i="43"/>
  <c r="J7" i="43"/>
  <c r="H7" i="43"/>
  <c r="F7" i="43"/>
  <c r="E6" i="43"/>
  <c r="O6" i="43" s="1"/>
  <c r="M6" i="43" s="1"/>
  <c r="E5" i="43"/>
  <c r="M5" i="43" s="1"/>
  <c r="E33" i="42"/>
  <c r="O32" i="42"/>
  <c r="N32" i="42"/>
  <c r="M32" i="42"/>
  <c r="L32" i="42"/>
  <c r="K32" i="42"/>
  <c r="J32" i="42"/>
  <c r="I32" i="42"/>
  <c r="H32" i="42"/>
  <c r="G32" i="42"/>
  <c r="F32" i="42"/>
  <c r="G29" i="42"/>
  <c r="L13" i="42"/>
  <c r="J13" i="42"/>
  <c r="H13" i="42"/>
  <c r="F13" i="42"/>
  <c r="E12" i="42"/>
  <c r="N11" i="42"/>
  <c r="E11" i="42"/>
  <c r="E13" i="42" s="1"/>
  <c r="L10" i="42"/>
  <c r="J10" i="42"/>
  <c r="H10" i="42"/>
  <c r="F10" i="42"/>
  <c r="N9" i="42"/>
  <c r="E9" i="42"/>
  <c r="K9" i="42" s="1"/>
  <c r="N8" i="42"/>
  <c r="L7" i="42"/>
  <c r="J7" i="42"/>
  <c r="H7" i="42"/>
  <c r="F7" i="42"/>
  <c r="N6" i="42"/>
  <c r="N7" i="42" s="1"/>
  <c r="E5" i="42"/>
  <c r="H40" i="41"/>
  <c r="E33" i="41"/>
  <c r="O32" i="41"/>
  <c r="N32" i="41"/>
  <c r="M32" i="41"/>
  <c r="L32" i="41"/>
  <c r="K32" i="41"/>
  <c r="J32" i="41"/>
  <c r="I32" i="41"/>
  <c r="H32" i="41"/>
  <c r="G32" i="41"/>
  <c r="F32" i="41"/>
  <c r="G29" i="41"/>
  <c r="L16" i="41"/>
  <c r="J16" i="41"/>
  <c r="H16" i="41"/>
  <c r="F16" i="41"/>
  <c r="N15" i="41"/>
  <c r="E15" i="41"/>
  <c r="I15" i="41" s="1"/>
  <c r="N14" i="41"/>
  <c r="N16" i="41" s="1"/>
  <c r="E14" i="41"/>
  <c r="E16" i="41" s="1"/>
  <c r="L13" i="41"/>
  <c r="J13" i="41"/>
  <c r="H13" i="41"/>
  <c r="F13" i="41"/>
  <c r="N12" i="41"/>
  <c r="I12" i="41"/>
  <c r="E12" i="41"/>
  <c r="N11" i="41"/>
  <c r="E11" i="41"/>
  <c r="E13" i="41" s="1"/>
  <c r="N10" i="41"/>
  <c r="L10" i="41"/>
  <c r="J10" i="41"/>
  <c r="H10" i="41"/>
  <c r="F10" i="41"/>
  <c r="O9" i="41"/>
  <c r="N9" i="41"/>
  <c r="M9" i="41"/>
  <c r="K9" i="41" s="1"/>
  <c r="G9" i="41"/>
  <c r="E9" i="41"/>
  <c r="I9" i="41" s="1"/>
  <c r="N8" i="41"/>
  <c r="E8" i="41"/>
  <c r="O8" i="41" s="1"/>
  <c r="L7" i="41"/>
  <c r="J7" i="41"/>
  <c r="J23" i="41" s="1"/>
  <c r="H7" i="41"/>
  <c r="F7" i="41"/>
  <c r="F23" i="41" s="1"/>
  <c r="N6" i="41"/>
  <c r="N7" i="41" s="1"/>
  <c r="O5" i="41"/>
  <c r="N5" i="41"/>
  <c r="M5" i="41"/>
  <c r="K5" i="41" s="1"/>
  <c r="G5" i="41"/>
  <c r="E5" i="41"/>
  <c r="L40" i="40"/>
  <c r="H40" i="40"/>
  <c r="F40" i="40"/>
  <c r="E40" i="40"/>
  <c r="E33" i="40"/>
  <c r="O32" i="40"/>
  <c r="N32" i="40"/>
  <c r="M32" i="40"/>
  <c r="L32" i="40"/>
  <c r="K32" i="40"/>
  <c r="J32" i="40"/>
  <c r="I32" i="40"/>
  <c r="H32" i="40"/>
  <c r="G32" i="40"/>
  <c r="F32" i="40"/>
  <c r="M29" i="40"/>
  <c r="I29" i="40"/>
  <c r="G29" i="40"/>
  <c r="L23" i="40"/>
  <c r="L13" i="40"/>
  <c r="J13" i="40"/>
  <c r="H13" i="40"/>
  <c r="F13" i="40"/>
  <c r="N12" i="40"/>
  <c r="O11" i="40"/>
  <c r="N11" i="40"/>
  <c r="M11" i="40"/>
  <c r="K11" i="40" s="1"/>
  <c r="G11" i="40"/>
  <c r="E11" i="40"/>
  <c r="I11" i="40" s="1"/>
  <c r="L10" i="40"/>
  <c r="J10" i="40"/>
  <c r="H10" i="40"/>
  <c r="F10" i="40"/>
  <c r="N9" i="40"/>
  <c r="N8" i="40"/>
  <c r="N10" i="40" s="1"/>
  <c r="E8" i="40"/>
  <c r="L7" i="40"/>
  <c r="J7" i="40"/>
  <c r="H7" i="40"/>
  <c r="F7" i="40"/>
  <c r="N6" i="40"/>
  <c r="E6" i="40"/>
  <c r="M6" i="40" s="1"/>
  <c r="N5" i="40"/>
  <c r="O5" i="40" s="1"/>
  <c r="E5" i="40"/>
  <c r="E7" i="40" s="1"/>
  <c r="O32" i="39"/>
  <c r="N32" i="39"/>
  <c r="M32" i="39"/>
  <c r="L32" i="39"/>
  <c r="K32" i="39"/>
  <c r="J32" i="39"/>
  <c r="I32" i="39"/>
  <c r="H32" i="39"/>
  <c r="G32" i="39"/>
  <c r="F32" i="39"/>
  <c r="L10" i="39"/>
  <c r="J10" i="39"/>
  <c r="H10" i="39"/>
  <c r="F10" i="39"/>
  <c r="N9" i="39"/>
  <c r="O8" i="39"/>
  <c r="N8" i="39"/>
  <c r="M8" i="39"/>
  <c r="K8" i="39" s="1"/>
  <c r="G8" i="39"/>
  <c r="E8" i="39"/>
  <c r="N7" i="39"/>
  <c r="L7" i="39"/>
  <c r="J7" i="39"/>
  <c r="H7" i="39"/>
  <c r="F7" i="39"/>
  <c r="N6" i="39"/>
  <c r="N5" i="39"/>
  <c r="E5" i="39"/>
  <c r="E33" i="38"/>
  <c r="O32" i="38"/>
  <c r="N32" i="38"/>
  <c r="M32" i="38"/>
  <c r="L32" i="38"/>
  <c r="K32" i="38"/>
  <c r="J32" i="38"/>
  <c r="I32" i="38"/>
  <c r="H32" i="38"/>
  <c r="G32" i="38"/>
  <c r="L13" i="38"/>
  <c r="J13" i="38"/>
  <c r="H13" i="38"/>
  <c r="F13" i="38"/>
  <c r="N12" i="38"/>
  <c r="N11" i="38"/>
  <c r="N13" i="38" s="1"/>
  <c r="E11" i="38"/>
  <c r="J10" i="38"/>
  <c r="H10" i="38"/>
  <c r="F10" i="38"/>
  <c r="N9" i="38"/>
  <c r="E9" i="38"/>
  <c r="K9" i="38" s="1"/>
  <c r="N8" i="38"/>
  <c r="L8" i="38"/>
  <c r="L7" i="38"/>
  <c r="J7" i="38"/>
  <c r="J23" i="38" s="1"/>
  <c r="H7" i="38"/>
  <c r="H23" i="38" s="1"/>
  <c r="F7" i="38"/>
  <c r="N6" i="38"/>
  <c r="O5" i="38"/>
  <c r="N5" i="38"/>
  <c r="M5" i="38"/>
  <c r="K5" i="38" s="1"/>
  <c r="G5" i="38"/>
  <c r="E5" i="38"/>
  <c r="I5" i="38" s="1"/>
  <c r="J40" i="37"/>
  <c r="H40" i="37"/>
  <c r="F40" i="37"/>
  <c r="E40" i="37"/>
  <c r="E33" i="37"/>
  <c r="O32" i="37"/>
  <c r="N32" i="37"/>
  <c r="M32" i="37"/>
  <c r="L32" i="37"/>
  <c r="K32" i="37"/>
  <c r="J32" i="37"/>
  <c r="I32" i="37"/>
  <c r="H32" i="37"/>
  <c r="G32" i="37"/>
  <c r="F32" i="37"/>
  <c r="K29" i="37"/>
  <c r="I29" i="37"/>
  <c r="G29" i="37"/>
  <c r="L13" i="37"/>
  <c r="J13" i="37"/>
  <c r="H13" i="37"/>
  <c r="F13" i="37"/>
  <c r="E12" i="37"/>
  <c r="N11" i="37"/>
  <c r="E11" i="37"/>
  <c r="E13" i="37" s="1"/>
  <c r="M13" i="37" s="1"/>
  <c r="L10" i="37"/>
  <c r="J10" i="37"/>
  <c r="H10" i="37"/>
  <c r="F10" i="37"/>
  <c r="N9" i="37"/>
  <c r="N8" i="37"/>
  <c r="E8" i="37" s="1"/>
  <c r="L7" i="37"/>
  <c r="L23" i="37" s="1"/>
  <c r="J7" i="37"/>
  <c r="H7" i="37"/>
  <c r="F7" i="37"/>
  <c r="N6" i="37"/>
  <c r="E6" i="37"/>
  <c r="K6" i="37" s="1"/>
  <c r="N5" i="37"/>
  <c r="J40" i="36"/>
  <c r="H40" i="36"/>
  <c r="F40" i="36"/>
  <c r="E40" i="36" s="1"/>
  <c r="E33" i="36"/>
  <c r="O32" i="36"/>
  <c r="N32" i="36"/>
  <c r="M32" i="36"/>
  <c r="L32" i="36"/>
  <c r="K32" i="36"/>
  <c r="J32" i="36"/>
  <c r="I32" i="36"/>
  <c r="H32" i="36"/>
  <c r="G32" i="36"/>
  <c r="F32" i="36"/>
  <c r="K29" i="36"/>
  <c r="I29" i="36"/>
  <c r="G29" i="36"/>
  <c r="L10" i="36"/>
  <c r="J10" i="36"/>
  <c r="H10" i="36"/>
  <c r="F10" i="36"/>
  <c r="N9" i="36"/>
  <c r="E9" i="36" s="1"/>
  <c r="N8" i="36"/>
  <c r="E8" i="36"/>
  <c r="E10" i="36" s="1"/>
  <c r="O9" i="36" s="1"/>
  <c r="L7" i="36"/>
  <c r="J7" i="36"/>
  <c r="H7" i="36"/>
  <c r="F7" i="36"/>
  <c r="N6" i="36"/>
  <c r="E6" i="36"/>
  <c r="N5" i="36"/>
  <c r="E5" i="36"/>
  <c r="K5" i="36" s="1"/>
  <c r="J40" i="35"/>
  <c r="E33" i="35"/>
  <c r="O32" i="35"/>
  <c r="N32" i="35"/>
  <c r="M32" i="35"/>
  <c r="L32" i="35"/>
  <c r="K32" i="35"/>
  <c r="J32" i="35"/>
  <c r="I32" i="35"/>
  <c r="H32" i="35"/>
  <c r="G32" i="35"/>
  <c r="F32" i="35"/>
  <c r="K29" i="35"/>
  <c r="I29" i="35"/>
  <c r="G29" i="35"/>
  <c r="L13" i="35"/>
  <c r="J13" i="35"/>
  <c r="H13" i="35"/>
  <c r="F13" i="35"/>
  <c r="N12" i="35"/>
  <c r="E11" i="35"/>
  <c r="K11" i="35" s="1"/>
  <c r="J10" i="35"/>
  <c r="H10" i="35"/>
  <c r="F10" i="35"/>
  <c r="N9" i="35"/>
  <c r="O11" i="35" s="1"/>
  <c r="M11" i="35" s="1"/>
  <c r="L9" i="35"/>
  <c r="E9" i="35"/>
  <c r="O8" i="35" s="1"/>
  <c r="K8" i="35"/>
  <c r="G8" i="35"/>
  <c r="E8" i="35"/>
  <c r="E10" i="35" s="1"/>
  <c r="L7" i="35"/>
  <c r="J7" i="35"/>
  <c r="J23" i="35" s="1"/>
  <c r="H7" i="35"/>
  <c r="H23" i="35" s="1"/>
  <c r="F7" i="35"/>
  <c r="E6" i="35"/>
  <c r="K6" i="35" s="1"/>
  <c r="N5" i="35"/>
  <c r="N7" i="35" s="1"/>
  <c r="J40" i="34"/>
  <c r="O32" i="34"/>
  <c r="N32" i="34"/>
  <c r="M32" i="34"/>
  <c r="L32" i="34"/>
  <c r="K32" i="34"/>
  <c r="J32" i="34"/>
  <c r="I32" i="34"/>
  <c r="H32" i="34"/>
  <c r="G32" i="34"/>
  <c r="F32" i="34"/>
  <c r="K29" i="34"/>
  <c r="I29" i="34"/>
  <c r="G29" i="34"/>
  <c r="L13" i="34"/>
  <c r="J13" i="34"/>
  <c r="H13" i="34"/>
  <c r="F13" i="34"/>
  <c r="G13" i="34" s="1"/>
  <c r="N12" i="34"/>
  <c r="E12" i="34"/>
  <c r="M12" i="34" s="1"/>
  <c r="E11" i="34"/>
  <c r="E13" i="34" s="1"/>
  <c r="O12" i="34" s="1"/>
  <c r="L10" i="34"/>
  <c r="J10" i="34"/>
  <c r="H10" i="34"/>
  <c r="F10" i="34"/>
  <c r="N9" i="34"/>
  <c r="E9" i="34" s="1"/>
  <c r="N8" i="34"/>
  <c r="N10" i="34" s="1"/>
  <c r="E8" i="34"/>
  <c r="E10" i="34" s="1"/>
  <c r="O9" i="34" s="1"/>
  <c r="L7" i="34"/>
  <c r="J7" i="34"/>
  <c r="H7" i="34"/>
  <c r="F7" i="34"/>
  <c r="K6" i="34"/>
  <c r="G6" i="34"/>
  <c r="E6" i="34"/>
  <c r="O6" i="34" s="1"/>
  <c r="M6" i="34" s="1"/>
  <c r="N5" i="34"/>
  <c r="E5" i="34"/>
  <c r="K5" i="34" s="1"/>
  <c r="H40" i="33"/>
  <c r="E33" i="33"/>
  <c r="O32" i="33"/>
  <c r="N32" i="33"/>
  <c r="M32" i="33"/>
  <c r="L32" i="33"/>
  <c r="K32" i="33"/>
  <c r="J32" i="33"/>
  <c r="I32" i="33"/>
  <c r="H32" i="33"/>
  <c r="G32" i="33"/>
  <c r="F32" i="33"/>
  <c r="K29" i="33"/>
  <c r="I29" i="33"/>
  <c r="G29" i="33"/>
  <c r="L13" i="33"/>
  <c r="J13" i="33"/>
  <c r="H13" i="33"/>
  <c r="F13" i="33"/>
  <c r="N12" i="33"/>
  <c r="E12" i="33"/>
  <c r="K12" i="33" s="1"/>
  <c r="N11" i="33"/>
  <c r="O11" i="33" s="1"/>
  <c r="E11" i="33"/>
  <c r="M11" i="33" s="1"/>
  <c r="L10" i="33"/>
  <c r="J10" i="33"/>
  <c r="H10" i="33"/>
  <c r="F10" i="33"/>
  <c r="N9" i="33"/>
  <c r="G9" i="33"/>
  <c r="E9" i="33"/>
  <c r="K9" i="33" s="1"/>
  <c r="N8" i="33"/>
  <c r="N10" i="33" s="1"/>
  <c r="E8" i="33"/>
  <c r="O8" i="33" s="1"/>
  <c r="L7" i="33"/>
  <c r="L23" i="33" s="1"/>
  <c r="J7" i="33"/>
  <c r="H7" i="33"/>
  <c r="H23" i="33" s="1"/>
  <c r="F7" i="33"/>
  <c r="N6" i="33"/>
  <c r="E6" i="33"/>
  <c r="K6" i="33" s="1"/>
  <c r="N5" i="33"/>
  <c r="E5" i="33"/>
  <c r="E7" i="33" s="1"/>
  <c r="J40" i="32"/>
  <c r="E33" i="32"/>
  <c r="N32" i="32"/>
  <c r="L32" i="32"/>
  <c r="L13" i="32"/>
  <c r="J13" i="32"/>
  <c r="H13" i="32"/>
  <c r="F13" i="32"/>
  <c r="E12" i="32"/>
  <c r="O12" i="32" s="1"/>
  <c r="M12" i="32" s="1"/>
  <c r="N11" i="32"/>
  <c r="N13" i="32" s="1"/>
  <c r="L10" i="32"/>
  <c r="J10" i="32"/>
  <c r="H10" i="32"/>
  <c r="F10" i="32"/>
  <c r="N9" i="32"/>
  <c r="O9" i="32" s="1"/>
  <c r="E9" i="32"/>
  <c r="I9" i="32" s="1"/>
  <c r="N8" i="32"/>
  <c r="N10" i="32" s="1"/>
  <c r="L7" i="32"/>
  <c r="J7" i="32"/>
  <c r="J23" i="32" s="1"/>
  <c r="H7" i="32"/>
  <c r="F7" i="32"/>
  <c r="F23" i="32" s="1"/>
  <c r="E6" i="32"/>
  <c r="K6" i="32" s="1"/>
  <c r="N5" i="32"/>
  <c r="E5" i="32"/>
  <c r="M5" i="32" s="1"/>
  <c r="F40" i="31"/>
  <c r="E33" i="31"/>
  <c r="N32" i="31"/>
  <c r="L32" i="31"/>
  <c r="L13" i="31"/>
  <c r="J13" i="31"/>
  <c r="H13" i="31"/>
  <c r="F13" i="31"/>
  <c r="N12" i="31"/>
  <c r="N11" i="31"/>
  <c r="N10" i="31"/>
  <c r="L10" i="31"/>
  <c r="M10" i="31" s="1"/>
  <c r="J10" i="31"/>
  <c r="K10" i="31" s="1"/>
  <c r="H10" i="31"/>
  <c r="I10" i="31" s="1"/>
  <c r="F10" i="31"/>
  <c r="G10" i="31" s="1"/>
  <c r="E10" i="31"/>
  <c r="N7" i="31"/>
  <c r="L7" i="31"/>
  <c r="J7" i="31"/>
  <c r="H7" i="31"/>
  <c r="F7" i="31"/>
  <c r="E7" i="31"/>
  <c r="H40" i="30"/>
  <c r="E35" i="30"/>
  <c r="E33" i="30"/>
  <c r="N32" i="30"/>
  <c r="L32" i="30"/>
  <c r="L13" i="30"/>
  <c r="J13" i="30"/>
  <c r="H13" i="30"/>
  <c r="F13" i="30"/>
  <c r="N12" i="30"/>
  <c r="O12" i="30" s="1"/>
  <c r="E12" i="30"/>
  <c r="K12" i="30" s="1"/>
  <c r="N11" i="30"/>
  <c r="O11" i="30" s="1"/>
  <c r="E11" i="30"/>
  <c r="E13" i="30" s="1"/>
  <c r="L10" i="30"/>
  <c r="J10" i="30"/>
  <c r="H10" i="30"/>
  <c r="F10" i="30"/>
  <c r="E9" i="30"/>
  <c r="K9" i="30" s="1"/>
  <c r="N8" i="30"/>
  <c r="N7" i="30"/>
  <c r="L7" i="30"/>
  <c r="L23" i="30" s="1"/>
  <c r="J7" i="30"/>
  <c r="J23" i="30" s="1"/>
  <c r="H7" i="30"/>
  <c r="H23" i="30" s="1"/>
  <c r="F7" i="30"/>
  <c r="E6" i="30"/>
  <c r="K6" i="30" s="1"/>
  <c r="E5" i="30"/>
  <c r="J40" i="29"/>
  <c r="H40" i="29"/>
  <c r="F40" i="29"/>
  <c r="E35" i="29"/>
  <c r="E33" i="29"/>
  <c r="N32" i="29"/>
  <c r="N16" i="29"/>
  <c r="L16" i="29"/>
  <c r="J16" i="29"/>
  <c r="H16" i="29"/>
  <c r="F16" i="29"/>
  <c r="E15" i="29"/>
  <c r="K15" i="29" s="1"/>
  <c r="E14" i="29"/>
  <c r="O14" i="29" s="1"/>
  <c r="N13" i="29"/>
  <c r="L13" i="29"/>
  <c r="J13" i="29"/>
  <c r="H13" i="29"/>
  <c r="F13" i="29"/>
  <c r="E12" i="29"/>
  <c r="K12" i="29" s="1"/>
  <c r="E11" i="29"/>
  <c r="E13" i="29" s="1"/>
  <c r="L10" i="29"/>
  <c r="J10" i="29"/>
  <c r="H10" i="29"/>
  <c r="F10" i="29"/>
  <c r="N9" i="29"/>
  <c r="N8" i="29"/>
  <c r="E8" i="29" s="1"/>
  <c r="N7" i="29"/>
  <c r="L7" i="29"/>
  <c r="J7" i="29"/>
  <c r="H7" i="29"/>
  <c r="F7" i="29"/>
  <c r="E7" i="29"/>
  <c r="K6" i="29"/>
  <c r="G6" i="29"/>
  <c r="E6" i="29"/>
  <c r="O6" i="29" s="1"/>
  <c r="M6" i="29" s="1"/>
  <c r="O5" i="29"/>
  <c r="K5" i="29"/>
  <c r="G5" i="29"/>
  <c r="E5" i="29"/>
  <c r="M5" i="29" s="1"/>
  <c r="F40" i="24"/>
  <c r="E36" i="24"/>
  <c r="E35" i="24"/>
  <c r="E33" i="24"/>
  <c r="N32" i="24"/>
  <c r="L13" i="24"/>
  <c r="J13" i="24"/>
  <c r="H13" i="24"/>
  <c r="F13" i="24"/>
  <c r="N12" i="24"/>
  <c r="E12" i="24" s="1"/>
  <c r="E11" i="24"/>
  <c r="O11" i="24" s="1"/>
  <c r="M11" i="24" s="1"/>
  <c r="N10" i="24"/>
  <c r="L10" i="24"/>
  <c r="J10" i="24"/>
  <c r="H10" i="24"/>
  <c r="F10" i="24"/>
  <c r="E10" i="24"/>
  <c r="G10" i="24" s="1"/>
  <c r="K9" i="24"/>
  <c r="G9" i="24"/>
  <c r="E9" i="24"/>
  <c r="O9" i="24" s="1"/>
  <c r="M9" i="24" s="1"/>
  <c r="O8" i="24"/>
  <c r="K8" i="24"/>
  <c r="G8" i="24"/>
  <c r="E8" i="24"/>
  <c r="M8" i="24" s="1"/>
  <c r="N7" i="24"/>
  <c r="L7" i="24"/>
  <c r="J7" i="24"/>
  <c r="H7" i="24"/>
  <c r="H23" i="24" s="1"/>
  <c r="F7" i="24"/>
  <c r="E6" i="24"/>
  <c r="E5" i="24"/>
  <c r="H40" i="28"/>
  <c r="E33" i="28"/>
  <c r="N32" i="28"/>
  <c r="L32" i="28"/>
  <c r="N13" i="28"/>
  <c r="L13" i="28"/>
  <c r="J13" i="28"/>
  <c r="H13" i="28"/>
  <c r="F13" i="28"/>
  <c r="E12" i="28"/>
  <c r="E11" i="28"/>
  <c r="E13" i="28" s="1"/>
  <c r="N10" i="28"/>
  <c r="L10" i="28"/>
  <c r="J10" i="28"/>
  <c r="H10" i="28"/>
  <c r="F10" i="28"/>
  <c r="E9" i="28"/>
  <c r="E8" i="28"/>
  <c r="N7" i="28"/>
  <c r="L7" i="28"/>
  <c r="J7" i="28"/>
  <c r="H7" i="28"/>
  <c r="F7" i="28"/>
  <c r="E6" i="28"/>
  <c r="E5" i="28"/>
  <c r="E7" i="28" s="1"/>
  <c r="G7" i="28" l="1"/>
  <c r="O7" i="28"/>
  <c r="O13" i="28"/>
  <c r="K13" i="28"/>
  <c r="G13" i="28"/>
  <c r="M13" i="28"/>
  <c r="I13" i="28"/>
  <c r="H40" i="24"/>
  <c r="M12" i="24"/>
  <c r="I12" i="24"/>
  <c r="K12" i="24"/>
  <c r="G12" i="24"/>
  <c r="I13" i="29"/>
  <c r="M13" i="29"/>
  <c r="K7" i="28"/>
  <c r="I7" i="28"/>
  <c r="M7" i="28"/>
  <c r="M8" i="29"/>
  <c r="I8" i="29"/>
  <c r="K8" i="29"/>
  <c r="G8" i="29"/>
  <c r="G13" i="29"/>
  <c r="K13" i="29"/>
  <c r="O13" i="29"/>
  <c r="E10" i="28"/>
  <c r="M10" i="28" s="1"/>
  <c r="I10" i="24"/>
  <c r="K10" i="24"/>
  <c r="M10" i="24"/>
  <c r="I11" i="24"/>
  <c r="L23" i="24"/>
  <c r="G7" i="29"/>
  <c r="I7" i="29"/>
  <c r="K7" i="29"/>
  <c r="M7" i="29"/>
  <c r="O7" i="29"/>
  <c r="I11" i="29"/>
  <c r="M11" i="29"/>
  <c r="I12" i="29"/>
  <c r="O12" i="29"/>
  <c r="M12" i="29" s="1"/>
  <c r="I14" i="29"/>
  <c r="M14" i="29"/>
  <c r="I15" i="29"/>
  <c r="O15" i="29"/>
  <c r="M15" i="29" s="1"/>
  <c r="G13" i="30"/>
  <c r="K13" i="30"/>
  <c r="F40" i="32"/>
  <c r="M9" i="34"/>
  <c r="I9" i="34"/>
  <c r="K9" i="34"/>
  <c r="G9" i="34"/>
  <c r="I10" i="34"/>
  <c r="M10" i="34"/>
  <c r="K13" i="34"/>
  <c r="O10" i="24"/>
  <c r="G10" i="28"/>
  <c r="E7" i="24"/>
  <c r="I8" i="24"/>
  <c r="I9" i="24"/>
  <c r="G11" i="24"/>
  <c r="K11" i="24"/>
  <c r="E13" i="24"/>
  <c r="O12" i="24" s="1"/>
  <c r="E40" i="24"/>
  <c r="I5" i="29"/>
  <c r="I6" i="29"/>
  <c r="G11" i="29"/>
  <c r="K11" i="29"/>
  <c r="O11" i="29"/>
  <c r="G12" i="29"/>
  <c r="G14" i="29"/>
  <c r="K14" i="29"/>
  <c r="G15" i="29"/>
  <c r="E16" i="29"/>
  <c r="E40" i="29"/>
  <c r="O5" i="30"/>
  <c r="K5" i="30"/>
  <c r="G5" i="30"/>
  <c r="M5" i="30"/>
  <c r="I5" i="30"/>
  <c r="J40" i="30"/>
  <c r="I13" i="30"/>
  <c r="M13" i="30"/>
  <c r="O6" i="33"/>
  <c r="M7" i="33"/>
  <c r="K7" i="33"/>
  <c r="I7" i="33"/>
  <c r="G7" i="33"/>
  <c r="O10" i="34"/>
  <c r="G10" i="34"/>
  <c r="K10" i="34"/>
  <c r="I13" i="34"/>
  <c r="M13" i="34"/>
  <c r="I6" i="30"/>
  <c r="O6" i="30"/>
  <c r="M6" i="30" s="1"/>
  <c r="I9" i="30"/>
  <c r="O9" i="30"/>
  <c r="M9" i="30" s="1"/>
  <c r="I11" i="30"/>
  <c r="I12" i="30"/>
  <c r="M12" i="30"/>
  <c r="N13" i="30"/>
  <c r="O13" i="30" s="1"/>
  <c r="G7" i="31"/>
  <c r="I7" i="31"/>
  <c r="K7" i="31"/>
  <c r="M7" i="31"/>
  <c r="O7" i="31"/>
  <c r="N13" i="31"/>
  <c r="G5" i="32"/>
  <c r="K5" i="32"/>
  <c r="G6" i="32"/>
  <c r="E7" i="32"/>
  <c r="M7" i="32" s="1"/>
  <c r="G7" i="32"/>
  <c r="K7" i="32"/>
  <c r="E8" i="32"/>
  <c r="G9" i="32"/>
  <c r="M9" i="32"/>
  <c r="K9" i="32" s="1"/>
  <c r="E11" i="32"/>
  <c r="G12" i="32"/>
  <c r="K12" i="32"/>
  <c r="E13" i="32"/>
  <c r="G5" i="33"/>
  <c r="K5" i="33"/>
  <c r="G6" i="33"/>
  <c r="G8" i="33"/>
  <c r="K8" i="33"/>
  <c r="I9" i="33"/>
  <c r="M9" i="33"/>
  <c r="E10" i="33"/>
  <c r="O9" i="33" s="1"/>
  <c r="G11" i="33"/>
  <c r="K11" i="33"/>
  <c r="I12" i="33"/>
  <c r="M12" i="33"/>
  <c r="E13" i="33"/>
  <c r="O12" i="33" s="1"/>
  <c r="I5" i="34"/>
  <c r="M5" i="34"/>
  <c r="O5" i="34"/>
  <c r="E7" i="34"/>
  <c r="G8" i="34"/>
  <c r="M8" i="34"/>
  <c r="K8" i="34" s="1"/>
  <c r="O8" i="34"/>
  <c r="I11" i="34"/>
  <c r="O11" i="34"/>
  <c r="M11" i="34" s="1"/>
  <c r="G12" i="34"/>
  <c r="K12" i="34"/>
  <c r="F20" i="34"/>
  <c r="H20" i="34"/>
  <c r="J20" i="34"/>
  <c r="L20" i="34"/>
  <c r="J23" i="34"/>
  <c r="G10" i="35"/>
  <c r="K10" i="35"/>
  <c r="M9" i="36"/>
  <c r="I9" i="36"/>
  <c r="K9" i="36"/>
  <c r="G9" i="36"/>
  <c r="I10" i="36"/>
  <c r="M10" i="36"/>
  <c r="G13" i="37"/>
  <c r="G6" i="30"/>
  <c r="E7" i="30"/>
  <c r="E8" i="30"/>
  <c r="O8" i="30" s="1"/>
  <c r="G9" i="30"/>
  <c r="E10" i="30"/>
  <c r="G11" i="30"/>
  <c r="M11" i="30"/>
  <c r="K11" i="30" s="1"/>
  <c r="G12" i="30"/>
  <c r="F23" i="30"/>
  <c r="E11" i="31"/>
  <c r="O11" i="31" s="1"/>
  <c r="I5" i="32"/>
  <c r="O5" i="32"/>
  <c r="I6" i="32"/>
  <c r="M6" i="32"/>
  <c r="I12" i="32"/>
  <c r="I5" i="33"/>
  <c r="M5" i="33"/>
  <c r="O5" i="33"/>
  <c r="I6" i="33"/>
  <c r="M6" i="33"/>
  <c r="I8" i="33"/>
  <c r="M8" i="33"/>
  <c r="I11" i="33"/>
  <c r="G12" i="33"/>
  <c r="G5" i="34"/>
  <c r="I6" i="34"/>
  <c r="G7" i="34"/>
  <c r="I8" i="34"/>
  <c r="G11" i="34"/>
  <c r="K11" i="34"/>
  <c r="I12" i="34"/>
  <c r="F23" i="34"/>
  <c r="H40" i="35"/>
  <c r="E40" i="35" s="1"/>
  <c r="I10" i="35"/>
  <c r="G10" i="36"/>
  <c r="K10" i="36"/>
  <c r="M8" i="37"/>
  <c r="I8" i="37"/>
  <c r="K8" i="37"/>
  <c r="G8" i="37"/>
  <c r="I13" i="37"/>
  <c r="I6" i="35"/>
  <c r="O6" i="35"/>
  <c r="M6" i="35" s="1"/>
  <c r="I9" i="35"/>
  <c r="M9" i="35"/>
  <c r="O9" i="35"/>
  <c r="I11" i="35"/>
  <c r="I5" i="36"/>
  <c r="M5" i="36"/>
  <c r="O5" i="36"/>
  <c r="I6" i="36"/>
  <c r="M6" i="36"/>
  <c r="E7" i="36"/>
  <c r="I8" i="36"/>
  <c r="M8" i="36"/>
  <c r="O8" i="36"/>
  <c r="I6" i="37"/>
  <c r="M6" i="37"/>
  <c r="O6" i="37"/>
  <c r="I11" i="37"/>
  <c r="M11" i="37"/>
  <c r="O11" i="37"/>
  <c r="I12" i="37"/>
  <c r="O12" i="37"/>
  <c r="M12" i="37" s="1"/>
  <c r="H23" i="37"/>
  <c r="I9" i="38"/>
  <c r="M9" i="38"/>
  <c r="O9" i="38"/>
  <c r="I11" i="38"/>
  <c r="M11" i="38"/>
  <c r="M5" i="39"/>
  <c r="I5" i="39"/>
  <c r="K5" i="39"/>
  <c r="F23" i="39"/>
  <c r="J23" i="39"/>
  <c r="E9" i="39"/>
  <c r="O6" i="40"/>
  <c r="M7" i="40"/>
  <c r="K7" i="40"/>
  <c r="I7" i="40"/>
  <c r="G7" i="40"/>
  <c r="E5" i="35"/>
  <c r="O5" i="35"/>
  <c r="G6" i="35"/>
  <c r="E7" i="35"/>
  <c r="I8" i="35"/>
  <c r="M8" i="35"/>
  <c r="G9" i="35"/>
  <c r="K9" i="35"/>
  <c r="G11" i="35"/>
  <c r="E12" i="35"/>
  <c r="F23" i="35"/>
  <c r="G5" i="36"/>
  <c r="G6" i="36"/>
  <c r="K6" i="36"/>
  <c r="G8" i="36"/>
  <c r="K8" i="36"/>
  <c r="E5" i="37"/>
  <c r="O5" i="37" s="1"/>
  <c r="G6" i="37"/>
  <c r="G11" i="37"/>
  <c r="K11" i="37"/>
  <c r="G12" i="37"/>
  <c r="K12" i="37"/>
  <c r="K13" i="37"/>
  <c r="E6" i="38"/>
  <c r="E8" i="38"/>
  <c r="O8" i="38" s="1"/>
  <c r="G9" i="38"/>
  <c r="G11" i="38"/>
  <c r="K11" i="38"/>
  <c r="F23" i="38"/>
  <c r="G5" i="39"/>
  <c r="O5" i="39"/>
  <c r="H23" i="39"/>
  <c r="L23" i="39"/>
  <c r="K10" i="41"/>
  <c r="I8" i="39"/>
  <c r="G5" i="40"/>
  <c r="M5" i="40"/>
  <c r="K5" i="40" s="1"/>
  <c r="G6" i="40"/>
  <c r="K6" i="40"/>
  <c r="G8" i="40"/>
  <c r="K8" i="40"/>
  <c r="E12" i="40"/>
  <c r="I5" i="41"/>
  <c r="E6" i="41"/>
  <c r="G8" i="41"/>
  <c r="K8" i="41"/>
  <c r="E10" i="41"/>
  <c r="I10" i="41" s="1"/>
  <c r="G11" i="41"/>
  <c r="M11" i="41"/>
  <c r="K11" i="41" s="1"/>
  <c r="K12" i="41"/>
  <c r="G12" i="41"/>
  <c r="O12" i="41"/>
  <c r="M12" i="41"/>
  <c r="I13" i="41"/>
  <c r="M13" i="41"/>
  <c r="I16" i="41"/>
  <c r="M16" i="41"/>
  <c r="G13" i="42"/>
  <c r="K13" i="42"/>
  <c r="O8" i="43"/>
  <c r="K9" i="43"/>
  <c r="G9" i="43"/>
  <c r="M9" i="43"/>
  <c r="I9" i="43"/>
  <c r="I5" i="40"/>
  <c r="I6" i="40"/>
  <c r="I8" i="40"/>
  <c r="M8" i="40"/>
  <c r="O8" i="40"/>
  <c r="F40" i="41"/>
  <c r="I8" i="41"/>
  <c r="M8" i="41"/>
  <c r="I11" i="41"/>
  <c r="O11" i="41"/>
  <c r="N13" i="41"/>
  <c r="O13" i="41" s="1"/>
  <c r="G13" i="41"/>
  <c r="K13" i="41"/>
  <c r="G16" i="41"/>
  <c r="K16" i="41"/>
  <c r="I13" i="42"/>
  <c r="M13" i="42"/>
  <c r="K8" i="43"/>
  <c r="G8" i="43"/>
  <c r="E10" i="43"/>
  <c r="O9" i="43" s="1"/>
  <c r="M8" i="43"/>
  <c r="I8" i="43"/>
  <c r="K10" i="43"/>
  <c r="I14" i="41"/>
  <c r="M14" i="41"/>
  <c r="O14" i="41"/>
  <c r="G15" i="41"/>
  <c r="M15" i="41"/>
  <c r="K15" i="41" s="1"/>
  <c r="O15" i="41"/>
  <c r="I5" i="42"/>
  <c r="O5" i="42"/>
  <c r="M5" i="42" s="1"/>
  <c r="I9" i="42"/>
  <c r="M9" i="42"/>
  <c r="I11" i="42"/>
  <c r="M11" i="42"/>
  <c r="O11" i="42"/>
  <c r="I12" i="42"/>
  <c r="O12" i="42"/>
  <c r="M12" i="42" s="1"/>
  <c r="G5" i="43"/>
  <c r="K5" i="43"/>
  <c r="O5" i="43"/>
  <c r="G6" i="43"/>
  <c r="K6" i="43"/>
  <c r="E7" i="43"/>
  <c r="E11" i="43"/>
  <c r="O11" i="43"/>
  <c r="G12" i="43"/>
  <c r="K12" i="43"/>
  <c r="E13" i="43"/>
  <c r="G14" i="41"/>
  <c r="K14" i="41"/>
  <c r="G5" i="42"/>
  <c r="K5" i="42"/>
  <c r="E6" i="42"/>
  <c r="E8" i="42"/>
  <c r="G9" i="42"/>
  <c r="G11" i="42"/>
  <c r="K11" i="42"/>
  <c r="G12" i="42"/>
  <c r="K12" i="42"/>
  <c r="I5" i="43"/>
  <c r="I6" i="43"/>
  <c r="O13" i="43"/>
  <c r="I12" i="43"/>
  <c r="H40" i="27"/>
  <c r="F40" i="27"/>
  <c r="E33" i="27"/>
  <c r="N32" i="27"/>
  <c r="L32" i="27"/>
  <c r="N19" i="27"/>
  <c r="L19" i="27"/>
  <c r="J19" i="27"/>
  <c r="H19" i="27"/>
  <c r="F19" i="27"/>
  <c r="E18" i="27"/>
  <c r="E17" i="27"/>
  <c r="E19" i="27" s="1"/>
  <c r="N16" i="27"/>
  <c r="L16" i="27"/>
  <c r="J16" i="27"/>
  <c r="H16" i="27"/>
  <c r="F16" i="27"/>
  <c r="E15" i="27"/>
  <c r="E14" i="27"/>
  <c r="N13" i="27"/>
  <c r="L13" i="27"/>
  <c r="J13" i="27"/>
  <c r="H13" i="27"/>
  <c r="F13" i="27"/>
  <c r="E12" i="27"/>
  <c r="E11" i="27"/>
  <c r="E13" i="27" s="1"/>
  <c r="N10" i="27"/>
  <c r="L10" i="27"/>
  <c r="J10" i="27"/>
  <c r="H10" i="27"/>
  <c r="F10" i="27"/>
  <c r="E9" i="27"/>
  <c r="E8" i="27"/>
  <c r="N7" i="27"/>
  <c r="L7" i="27"/>
  <c r="J7" i="27"/>
  <c r="H7" i="27"/>
  <c r="F7" i="27"/>
  <c r="E6" i="27"/>
  <c r="E5" i="27"/>
  <c r="E7" i="27" s="1"/>
  <c r="J40" i="26"/>
  <c r="F40" i="26"/>
  <c r="E40" i="26"/>
  <c r="E33" i="26"/>
  <c r="N32" i="26"/>
  <c r="L32" i="26"/>
  <c r="K29" i="26"/>
  <c r="L10" i="26"/>
  <c r="M10" i="26" s="1"/>
  <c r="J10" i="26"/>
  <c r="H10" i="26"/>
  <c r="I10" i="26" s="1"/>
  <c r="F10" i="26"/>
  <c r="N9" i="26"/>
  <c r="E9" i="26"/>
  <c r="K9" i="26" s="1"/>
  <c r="N8" i="26"/>
  <c r="O8" i="26" s="1"/>
  <c r="E8" i="26"/>
  <c r="E10" i="26" s="1"/>
  <c r="N7" i="26"/>
  <c r="L7" i="26"/>
  <c r="L23" i="26" s="1"/>
  <c r="J7" i="26"/>
  <c r="J23" i="26" s="1"/>
  <c r="H7" i="26"/>
  <c r="H23" i="26" s="1"/>
  <c r="F7" i="26"/>
  <c r="F23" i="26" s="1"/>
  <c r="G23" i="26" s="1"/>
  <c r="O6" i="26"/>
  <c r="N6" i="26"/>
  <c r="M6" i="26"/>
  <c r="K6" i="26" s="1"/>
  <c r="G6" i="26"/>
  <c r="E6" i="26"/>
  <c r="I6" i="26" s="1"/>
  <c r="N5" i="26"/>
  <c r="E5" i="26"/>
  <c r="E7" i="26" s="1"/>
  <c r="E23" i="26" s="1"/>
  <c r="J40" i="25"/>
  <c r="H40" i="25"/>
  <c r="E33" i="25"/>
  <c r="N32" i="25"/>
  <c r="L32" i="25"/>
  <c r="J32" i="25"/>
  <c r="H32" i="25"/>
  <c r="F32" i="25"/>
  <c r="K29" i="25"/>
  <c r="I29" i="25"/>
  <c r="G29" i="25"/>
  <c r="L16" i="25"/>
  <c r="J16" i="25"/>
  <c r="H16" i="25"/>
  <c r="F16" i="25"/>
  <c r="N15" i="25"/>
  <c r="E15" i="25"/>
  <c r="K15" i="25" s="1"/>
  <c r="K14" i="25"/>
  <c r="G14" i="25"/>
  <c r="E14" i="25"/>
  <c r="O14" i="25" s="1"/>
  <c r="M14" i="25" s="1"/>
  <c r="N13" i="25"/>
  <c r="L13" i="25"/>
  <c r="J13" i="25"/>
  <c r="H13" i="25"/>
  <c r="F13" i="25"/>
  <c r="K12" i="25"/>
  <c r="G12" i="25"/>
  <c r="E12" i="25"/>
  <c r="E11" i="25"/>
  <c r="K11" i="25" s="1"/>
  <c r="L10" i="25"/>
  <c r="J10" i="25"/>
  <c r="H10" i="25"/>
  <c r="F10" i="25"/>
  <c r="O9" i="25"/>
  <c r="N9" i="25"/>
  <c r="M9" i="25"/>
  <c r="K9" i="25" s="1"/>
  <c r="G9" i="25"/>
  <c r="E9" i="25"/>
  <c r="I9" i="25" s="1"/>
  <c r="O8" i="25"/>
  <c r="K8" i="25"/>
  <c r="G8" i="25"/>
  <c r="E8" i="25"/>
  <c r="E10" i="25" s="1"/>
  <c r="L7" i="25"/>
  <c r="L23" i="25" s="1"/>
  <c r="J7" i="25"/>
  <c r="J23" i="25" s="1"/>
  <c r="H7" i="25"/>
  <c r="H23" i="25" s="1"/>
  <c r="F7" i="25"/>
  <c r="F23" i="25" s="1"/>
  <c r="N6" i="25"/>
  <c r="N5" i="25"/>
  <c r="N7" i="25" s="1"/>
  <c r="E5" i="25"/>
  <c r="K5" i="25" s="1"/>
  <c r="L203" i="1"/>
  <c r="J203" i="1"/>
  <c r="H203" i="1"/>
  <c r="F203" i="1"/>
  <c r="O202" i="1"/>
  <c r="N202" i="1"/>
  <c r="K202" i="1"/>
  <c r="G202" i="1"/>
  <c r="E202" i="1"/>
  <c r="I202" i="1" s="1"/>
  <c r="N201" i="1"/>
  <c r="N203" i="1" s="1"/>
  <c r="L200" i="1"/>
  <c r="J200" i="1"/>
  <c r="H200" i="1"/>
  <c r="F200" i="1"/>
  <c r="N199" i="1"/>
  <c r="O198" i="1"/>
  <c r="N198" i="1"/>
  <c r="N200" i="1" s="1"/>
  <c r="K198" i="1"/>
  <c r="G198" i="1"/>
  <c r="E198" i="1"/>
  <c r="N197" i="1"/>
  <c r="L197" i="1"/>
  <c r="J197" i="1"/>
  <c r="H197" i="1"/>
  <c r="F197" i="1"/>
  <c r="E196" i="1"/>
  <c r="M196" i="1" s="1"/>
  <c r="M195" i="1"/>
  <c r="I195" i="1"/>
  <c r="G195" i="1" s="1"/>
  <c r="E195" i="1"/>
  <c r="E197" i="1" s="1"/>
  <c r="L193" i="1"/>
  <c r="J193" i="1"/>
  <c r="H193" i="1"/>
  <c r="F193" i="1"/>
  <c r="O192" i="1"/>
  <c r="K192" i="1"/>
  <c r="G192" i="1"/>
  <c r="E192" i="1"/>
  <c r="M192" i="1" s="1"/>
  <c r="O191" i="1"/>
  <c r="N191" i="1"/>
  <c r="N193" i="1" s="1"/>
  <c r="M191" i="1"/>
  <c r="I191" i="1"/>
  <c r="G191" i="1" s="1"/>
  <c r="E191" i="1"/>
  <c r="E193" i="1" s="1"/>
  <c r="L190" i="1"/>
  <c r="J190" i="1"/>
  <c r="H190" i="1"/>
  <c r="F190" i="1"/>
  <c r="N189" i="1"/>
  <c r="O188" i="1"/>
  <c r="N188" i="1"/>
  <c r="N190" i="1" s="1"/>
  <c r="M188" i="1"/>
  <c r="G188" i="1"/>
  <c r="E188" i="1"/>
  <c r="K188" i="1" s="1"/>
  <c r="I188" i="1" s="1"/>
  <c r="L187" i="1"/>
  <c r="J187" i="1"/>
  <c r="H187" i="1"/>
  <c r="F187" i="1"/>
  <c r="N186" i="1"/>
  <c r="N187" i="1" s="1"/>
  <c r="E186" i="1"/>
  <c r="M186" i="1" s="1"/>
  <c r="E185" i="1"/>
  <c r="O185" i="1" s="1"/>
  <c r="L184" i="1"/>
  <c r="J184" i="1"/>
  <c r="H184" i="1"/>
  <c r="F184" i="1"/>
  <c r="O183" i="1"/>
  <c r="N183" i="1"/>
  <c r="K183" i="1"/>
  <c r="G183" i="1"/>
  <c r="E183" i="1"/>
  <c r="I183" i="1" s="1"/>
  <c r="N182" i="1"/>
  <c r="N184" i="1" s="1"/>
  <c r="L181" i="1"/>
  <c r="J181" i="1"/>
  <c r="H181" i="1"/>
  <c r="F181" i="1"/>
  <c r="N180" i="1"/>
  <c r="N179" i="1"/>
  <c r="N181" i="1" s="1"/>
  <c r="L178" i="1"/>
  <c r="J178" i="1"/>
  <c r="H178" i="1"/>
  <c r="F178" i="1"/>
  <c r="N177" i="1"/>
  <c r="N176" i="1"/>
  <c r="N178" i="1" s="1"/>
  <c r="L175" i="1"/>
  <c r="J175" i="1"/>
  <c r="H175" i="1"/>
  <c r="F175" i="1"/>
  <c r="N174" i="1"/>
  <c r="N173" i="1"/>
  <c r="N175" i="1" s="1"/>
  <c r="L172" i="1"/>
  <c r="J172" i="1"/>
  <c r="H172" i="1"/>
  <c r="F172" i="1"/>
  <c r="N171" i="1"/>
  <c r="O171" i="1" s="1"/>
  <c r="E171" i="1"/>
  <c r="M171" i="1" s="1"/>
  <c r="N170" i="1"/>
  <c r="N172" i="1" s="1"/>
  <c r="L169" i="1"/>
  <c r="J169" i="1"/>
  <c r="H169" i="1"/>
  <c r="F169" i="1"/>
  <c r="N168" i="1"/>
  <c r="N167" i="1"/>
  <c r="N169" i="1" s="1"/>
  <c r="L166" i="1"/>
  <c r="J166" i="1"/>
  <c r="H166" i="1"/>
  <c r="F166" i="1"/>
  <c r="N165" i="1"/>
  <c r="N164" i="1"/>
  <c r="N166" i="1" s="1"/>
  <c r="L163" i="1"/>
  <c r="J163" i="1"/>
  <c r="H163" i="1"/>
  <c r="F163" i="1"/>
  <c r="N162" i="1"/>
  <c r="N161" i="1"/>
  <c r="N163" i="1" s="1"/>
  <c r="E161" i="1"/>
  <c r="O161" i="1" s="1"/>
  <c r="L160" i="1"/>
  <c r="J160" i="1"/>
  <c r="H160" i="1"/>
  <c r="F160" i="1"/>
  <c r="N159" i="1"/>
  <c r="N158" i="1"/>
  <c r="N160" i="1" s="1"/>
  <c r="L157" i="1"/>
  <c r="J157" i="1"/>
  <c r="H157" i="1"/>
  <c r="F157" i="1"/>
  <c r="N156" i="1"/>
  <c r="E156" i="1"/>
  <c r="M156" i="1" s="1"/>
  <c r="N155" i="1"/>
  <c r="N157" i="1" s="1"/>
  <c r="J154" i="1"/>
  <c r="H154" i="1"/>
  <c r="F154" i="1"/>
  <c r="N153" i="1"/>
  <c r="N152" i="1"/>
  <c r="N154" i="1" s="1"/>
  <c r="L152" i="1"/>
  <c r="L154" i="1" s="1"/>
  <c r="G152" i="1"/>
  <c r="E152" i="1"/>
  <c r="O152" i="1" s="1"/>
  <c r="L151" i="1"/>
  <c r="J151" i="1"/>
  <c r="H151" i="1"/>
  <c r="F151" i="1"/>
  <c r="N150" i="1"/>
  <c r="N149" i="1"/>
  <c r="N151" i="1" s="1"/>
  <c r="E149" i="1"/>
  <c r="L144" i="1"/>
  <c r="J144" i="1"/>
  <c r="H144" i="1"/>
  <c r="F144" i="1"/>
  <c r="G143" i="1"/>
  <c r="E143" i="1"/>
  <c r="M143" i="1" s="1"/>
  <c r="N142" i="1"/>
  <c r="N144" i="1" s="1"/>
  <c r="E142" i="1"/>
  <c r="E144" i="1" s="1"/>
  <c r="L141" i="1"/>
  <c r="J141" i="1"/>
  <c r="H141" i="1"/>
  <c r="F141" i="1"/>
  <c r="N140" i="1"/>
  <c r="E140" i="1"/>
  <c r="K140" i="1" s="1"/>
  <c r="N139" i="1"/>
  <c r="L138" i="1"/>
  <c r="J138" i="1"/>
  <c r="H138" i="1"/>
  <c r="F138" i="1"/>
  <c r="N137" i="1"/>
  <c r="K137" i="1"/>
  <c r="G137" i="1"/>
  <c r="E137" i="1"/>
  <c r="N136" i="1"/>
  <c r="N138" i="1" s="1"/>
  <c r="L135" i="1"/>
  <c r="J135" i="1"/>
  <c r="H135" i="1"/>
  <c r="F135" i="1"/>
  <c r="N134" i="1"/>
  <c r="E134" i="1" s="1"/>
  <c r="K134" i="1"/>
  <c r="G134" i="1"/>
  <c r="N133" i="1"/>
  <c r="N135" i="1" s="1"/>
  <c r="L132" i="1"/>
  <c r="J132" i="1"/>
  <c r="H132" i="1"/>
  <c r="F132" i="1"/>
  <c r="N131" i="1"/>
  <c r="O131" i="1" s="1"/>
  <c r="E131" i="1"/>
  <c r="K131" i="1" s="1"/>
  <c r="N130" i="1"/>
  <c r="N132" i="1" s="1"/>
  <c r="E130" i="1"/>
  <c r="M130" i="1" s="1"/>
  <c r="L129" i="1"/>
  <c r="J129" i="1"/>
  <c r="H129" i="1"/>
  <c r="F129" i="1"/>
  <c r="N128" i="1"/>
  <c r="N129" i="1" s="1"/>
  <c r="E128" i="1"/>
  <c r="O128" i="1" s="1"/>
  <c r="J126" i="1"/>
  <c r="H126" i="1"/>
  <c r="F126" i="1"/>
  <c r="N125" i="1"/>
  <c r="L125" i="1"/>
  <c r="L126" i="1" s="1"/>
  <c r="E125" i="1"/>
  <c r="O125" i="1" s="1"/>
  <c r="K124" i="1"/>
  <c r="G124" i="1"/>
  <c r="E124" i="1"/>
  <c r="E126" i="1" s="1"/>
  <c r="L123" i="1"/>
  <c r="J123" i="1"/>
  <c r="H123" i="1"/>
  <c r="F123" i="1"/>
  <c r="E122" i="1"/>
  <c r="M122" i="1" s="1"/>
  <c r="N121" i="1"/>
  <c r="N123" i="1" s="1"/>
  <c r="L120" i="1"/>
  <c r="J120" i="1"/>
  <c r="H120" i="1"/>
  <c r="F120" i="1"/>
  <c r="N119" i="1"/>
  <c r="N120" i="1" s="1"/>
  <c r="E118" i="1"/>
  <c r="M118" i="1" s="1"/>
  <c r="L117" i="1"/>
  <c r="J117" i="1"/>
  <c r="H117" i="1"/>
  <c r="F117" i="1"/>
  <c r="N116" i="1"/>
  <c r="N115" i="1"/>
  <c r="N117" i="1" s="1"/>
  <c r="E115" i="1"/>
  <c r="O115" i="1" s="1"/>
  <c r="L114" i="1"/>
  <c r="J114" i="1"/>
  <c r="H114" i="1"/>
  <c r="F114" i="1"/>
  <c r="O113" i="1"/>
  <c r="K113" i="1"/>
  <c r="G113" i="1"/>
  <c r="E113" i="1"/>
  <c r="M113" i="1" s="1"/>
  <c r="N112" i="1"/>
  <c r="N114" i="1" s="1"/>
  <c r="E112" i="1"/>
  <c r="O112" i="1" s="1"/>
  <c r="L111" i="1"/>
  <c r="J111" i="1"/>
  <c r="H111" i="1"/>
  <c r="F111" i="1"/>
  <c r="N110" i="1"/>
  <c r="E110" i="1"/>
  <c r="O110" i="1" s="1"/>
  <c r="N109" i="1"/>
  <c r="N111" i="1" s="1"/>
  <c r="L108" i="1"/>
  <c r="J108" i="1"/>
  <c r="H108" i="1"/>
  <c r="F108" i="1"/>
  <c r="N107" i="1"/>
  <c r="N106" i="1"/>
  <c r="N108" i="1" s="1"/>
  <c r="L105" i="1"/>
  <c r="J105" i="1"/>
  <c r="H105" i="1"/>
  <c r="F105" i="1"/>
  <c r="N104" i="1"/>
  <c r="N103" i="1"/>
  <c r="N105" i="1" s="1"/>
  <c r="L102" i="1"/>
  <c r="J102" i="1"/>
  <c r="H102" i="1"/>
  <c r="F102" i="1"/>
  <c r="E101" i="1"/>
  <c r="M101" i="1" s="1"/>
  <c r="N100" i="1"/>
  <c r="N102" i="1" s="1"/>
  <c r="L99" i="1"/>
  <c r="J99" i="1"/>
  <c r="H99" i="1"/>
  <c r="F99" i="1"/>
  <c r="N98" i="1"/>
  <c r="N97" i="1"/>
  <c r="N99" i="1" s="1"/>
  <c r="L96" i="1"/>
  <c r="J96" i="1"/>
  <c r="H96" i="1"/>
  <c r="F96" i="1"/>
  <c r="E95" i="1"/>
  <c r="O95" i="1" s="1"/>
  <c r="N94" i="1"/>
  <c r="N96" i="1" s="1"/>
  <c r="L93" i="1"/>
  <c r="J93" i="1"/>
  <c r="H93" i="1"/>
  <c r="F93" i="1"/>
  <c r="N92" i="1"/>
  <c r="N91" i="1"/>
  <c r="N93" i="1" s="1"/>
  <c r="E91" i="1"/>
  <c r="N90" i="1"/>
  <c r="L90" i="1"/>
  <c r="J90" i="1"/>
  <c r="H90" i="1"/>
  <c r="F90" i="1"/>
  <c r="E90" i="1"/>
  <c r="N87" i="1"/>
  <c r="O87" i="1" s="1"/>
  <c r="L87" i="1"/>
  <c r="M87" i="1" s="1"/>
  <c r="J87" i="1"/>
  <c r="K87" i="1" s="1"/>
  <c r="H87" i="1"/>
  <c r="I87" i="1" s="1"/>
  <c r="F87" i="1"/>
  <c r="G87" i="1" s="1"/>
  <c r="E87" i="1"/>
  <c r="L80" i="1"/>
  <c r="J80" i="1"/>
  <c r="H80" i="1"/>
  <c r="F80" i="1"/>
  <c r="N79" i="1"/>
  <c r="N80" i="1" s="1"/>
  <c r="E78" i="1"/>
  <c r="M78" i="1" s="1"/>
  <c r="N77" i="1"/>
  <c r="L77" i="1"/>
  <c r="J77" i="1"/>
  <c r="H77" i="1"/>
  <c r="F77" i="1"/>
  <c r="O76" i="1"/>
  <c r="K76" i="1"/>
  <c r="G76" i="1"/>
  <c r="E76" i="1"/>
  <c r="M76" i="1" s="1"/>
  <c r="E75" i="1"/>
  <c r="O75" i="1" s="1"/>
  <c r="N74" i="1"/>
  <c r="L74" i="1"/>
  <c r="J74" i="1"/>
  <c r="H74" i="1"/>
  <c r="F74" i="1"/>
  <c r="N73" i="1"/>
  <c r="E72" i="1"/>
  <c r="O72" i="1" s="1"/>
  <c r="L71" i="1"/>
  <c r="J71" i="1"/>
  <c r="H71" i="1"/>
  <c r="F71" i="1"/>
  <c r="N70" i="1"/>
  <c r="N69" i="1"/>
  <c r="N71" i="1" s="1"/>
  <c r="L68" i="1"/>
  <c r="J68" i="1"/>
  <c r="H68" i="1"/>
  <c r="F68" i="1"/>
  <c r="N67" i="1"/>
  <c r="N66" i="1"/>
  <c r="N68" i="1" s="1"/>
  <c r="L65" i="1"/>
  <c r="J65" i="1"/>
  <c r="H65" i="1"/>
  <c r="F65" i="1"/>
  <c r="N64" i="1"/>
  <c r="E64" i="1"/>
  <c r="O64" i="1" s="1"/>
  <c r="N63" i="1"/>
  <c r="N65" i="1" s="1"/>
  <c r="L58" i="1"/>
  <c r="J58" i="1"/>
  <c r="H58" i="1"/>
  <c r="F58" i="1"/>
  <c r="N57" i="1"/>
  <c r="N56" i="1"/>
  <c r="N58" i="1" s="1"/>
  <c r="L55" i="1"/>
  <c r="J55" i="1"/>
  <c r="H55" i="1"/>
  <c r="F55" i="1"/>
  <c r="E54" i="1"/>
  <c r="O54" i="1" s="1"/>
  <c r="N53" i="1"/>
  <c r="N55" i="1" s="1"/>
  <c r="N52" i="1"/>
  <c r="L52" i="1"/>
  <c r="J52" i="1"/>
  <c r="H52" i="1"/>
  <c r="F52" i="1"/>
  <c r="E51" i="1"/>
  <c r="M51" i="1" s="1"/>
  <c r="E50" i="1"/>
  <c r="E52" i="1" s="1"/>
  <c r="N49" i="1"/>
  <c r="L49" i="1"/>
  <c r="J49" i="1"/>
  <c r="H49" i="1"/>
  <c r="F49" i="1"/>
  <c r="O48" i="1"/>
  <c r="K48" i="1"/>
  <c r="G48" i="1"/>
  <c r="E48" i="1"/>
  <c r="M48" i="1" s="1"/>
  <c r="E47" i="1"/>
  <c r="E49" i="1" s="1"/>
  <c r="N46" i="1"/>
  <c r="L46" i="1"/>
  <c r="J46" i="1"/>
  <c r="H46" i="1"/>
  <c r="F46" i="1"/>
  <c r="E45" i="1"/>
  <c r="M45" i="1" s="1"/>
  <c r="E44" i="1"/>
  <c r="E46" i="1" s="1"/>
  <c r="L43" i="1"/>
  <c r="J43" i="1"/>
  <c r="H43" i="1"/>
  <c r="F43" i="1"/>
  <c r="N42" i="1"/>
  <c r="N41" i="1"/>
  <c r="N40" i="1"/>
  <c r="L40" i="1"/>
  <c r="J40" i="1"/>
  <c r="H40" i="1"/>
  <c r="F40" i="1"/>
  <c r="O39" i="1"/>
  <c r="K39" i="1"/>
  <c r="G39" i="1"/>
  <c r="E39" i="1"/>
  <c r="M39" i="1" s="1"/>
  <c r="O38" i="1"/>
  <c r="K38" i="1"/>
  <c r="G38" i="1"/>
  <c r="E38" i="1"/>
  <c r="E40" i="1" s="1"/>
  <c r="L37" i="1"/>
  <c r="J37" i="1"/>
  <c r="H37" i="1"/>
  <c r="F37" i="1"/>
  <c r="N36" i="1"/>
  <c r="N37" i="1" s="1"/>
  <c r="E36" i="1"/>
  <c r="M36" i="1" s="1"/>
  <c r="M35" i="1"/>
  <c r="I35" i="1"/>
  <c r="G35" i="1" s="1"/>
  <c r="E35" i="1"/>
  <c r="N34" i="1"/>
  <c r="L34" i="1"/>
  <c r="J34" i="1"/>
  <c r="H34" i="1"/>
  <c r="F34" i="1"/>
  <c r="E33" i="1"/>
  <c r="O33" i="1" s="1"/>
  <c r="E32" i="1"/>
  <c r="O32" i="1" s="1"/>
  <c r="N31" i="1"/>
  <c r="L31" i="1"/>
  <c r="M31" i="1" s="1"/>
  <c r="J31" i="1"/>
  <c r="H31" i="1"/>
  <c r="I31" i="1" s="1"/>
  <c r="F31" i="1"/>
  <c r="E30" i="1"/>
  <c r="E29" i="1"/>
  <c r="E31" i="1" s="1"/>
  <c r="N28" i="1"/>
  <c r="L28" i="1"/>
  <c r="J28" i="1"/>
  <c r="H28" i="1"/>
  <c r="F28" i="1"/>
  <c r="E27" i="1"/>
  <c r="E26" i="1"/>
  <c r="N25" i="1"/>
  <c r="O25" i="1" s="1"/>
  <c r="L25" i="1"/>
  <c r="M25" i="1" s="1"/>
  <c r="J25" i="1"/>
  <c r="K25" i="1" s="1"/>
  <c r="H25" i="1"/>
  <c r="I25" i="1" s="1"/>
  <c r="F25" i="1"/>
  <c r="G25" i="1" s="1"/>
  <c r="E25" i="1"/>
  <c r="N22" i="1"/>
  <c r="L22" i="1"/>
  <c r="J22" i="1"/>
  <c r="H22" i="1"/>
  <c r="F22" i="1"/>
  <c r="E22" i="1"/>
  <c r="N19" i="1"/>
  <c r="O19" i="1" s="1"/>
  <c r="L19" i="1"/>
  <c r="M19" i="1" s="1"/>
  <c r="J19" i="1"/>
  <c r="K19" i="1" s="1"/>
  <c r="H19" i="1"/>
  <c r="I19" i="1" s="1"/>
  <c r="F19" i="1"/>
  <c r="G19" i="1" s="1"/>
  <c r="E19" i="1"/>
  <c r="N16" i="1"/>
  <c r="L16" i="1"/>
  <c r="J16" i="1"/>
  <c r="H16" i="1"/>
  <c r="F16" i="1"/>
  <c r="E16" i="1"/>
  <c r="N13" i="1"/>
  <c r="O13" i="1" s="1"/>
  <c r="L13" i="1"/>
  <c r="M13" i="1" s="1"/>
  <c r="J13" i="1"/>
  <c r="K13" i="1" s="1"/>
  <c r="H13" i="1"/>
  <c r="I13" i="1" s="1"/>
  <c r="F13" i="1"/>
  <c r="G13" i="1" s="1"/>
  <c r="E13" i="1"/>
  <c r="N10" i="1"/>
  <c r="M10" i="1" s="1"/>
  <c r="L10" i="1"/>
  <c r="J10" i="1"/>
  <c r="I10" i="1" s="1"/>
  <c r="H10" i="1"/>
  <c r="F10" i="1"/>
  <c r="E10" i="1"/>
  <c r="N7" i="1"/>
  <c r="L7" i="1"/>
  <c r="J7" i="1"/>
  <c r="H7" i="1"/>
  <c r="F7" i="1"/>
  <c r="E7" i="1"/>
  <c r="O7" i="1" s="1"/>
  <c r="I7" i="1" l="1"/>
  <c r="M7" i="1"/>
  <c r="G10" i="1"/>
  <c r="K10" i="1"/>
  <c r="O10" i="1"/>
  <c r="G31" i="1"/>
  <c r="K31" i="1"/>
  <c r="O31" i="1"/>
  <c r="G49" i="1"/>
  <c r="K49" i="1"/>
  <c r="O49" i="1"/>
  <c r="I126" i="1"/>
  <c r="G7" i="1"/>
  <c r="K7" i="1"/>
  <c r="I49" i="1"/>
  <c r="M49" i="1"/>
  <c r="M126" i="1"/>
  <c r="G126" i="1"/>
  <c r="K126" i="1"/>
  <c r="I16" i="1"/>
  <c r="M16" i="1"/>
  <c r="G22" i="1"/>
  <c r="K22" i="1"/>
  <c r="O22" i="1"/>
  <c r="I32" i="1"/>
  <c r="M32" i="1"/>
  <c r="I33" i="1"/>
  <c r="M33" i="1"/>
  <c r="E34" i="1"/>
  <c r="G34" i="1" s="1"/>
  <c r="K34" i="1"/>
  <c r="K35" i="1"/>
  <c r="O35" i="1"/>
  <c r="G36" i="1"/>
  <c r="K36" i="1"/>
  <c r="I38" i="1"/>
  <c r="M38" i="1"/>
  <c r="I39" i="1"/>
  <c r="G40" i="1"/>
  <c r="K40" i="1"/>
  <c r="E42" i="1"/>
  <c r="G44" i="1"/>
  <c r="K44" i="1"/>
  <c r="O44" i="1"/>
  <c r="G45" i="1"/>
  <c r="K45" i="1"/>
  <c r="O45" i="1"/>
  <c r="I46" i="1"/>
  <c r="M46" i="1"/>
  <c r="G47" i="1"/>
  <c r="M47" i="1"/>
  <c r="I48" i="1"/>
  <c r="G50" i="1"/>
  <c r="K50" i="1"/>
  <c r="O50" i="1"/>
  <c r="G51" i="1"/>
  <c r="K51" i="1"/>
  <c r="O51" i="1"/>
  <c r="I52" i="1"/>
  <c r="M52" i="1"/>
  <c r="G54" i="1"/>
  <c r="M54" i="1"/>
  <c r="E57" i="1"/>
  <c r="O57" i="1" s="1"/>
  <c r="G64" i="1"/>
  <c r="K64" i="1"/>
  <c r="E66" i="1"/>
  <c r="O66" i="1" s="1"/>
  <c r="E69" i="1"/>
  <c r="G72" i="1"/>
  <c r="M72" i="1"/>
  <c r="G75" i="1"/>
  <c r="M75" i="1"/>
  <c r="I76" i="1"/>
  <c r="E77" i="1"/>
  <c r="M77" i="1" s="1"/>
  <c r="G78" i="1"/>
  <c r="K78" i="1"/>
  <c r="O78" i="1"/>
  <c r="I90" i="1"/>
  <c r="M90" i="1"/>
  <c r="G91" i="1"/>
  <c r="K91" i="1"/>
  <c r="I95" i="1"/>
  <c r="G95" i="1" s="1"/>
  <c r="M95" i="1"/>
  <c r="G101" i="1"/>
  <c r="K101" i="1"/>
  <c r="O101" i="1"/>
  <c r="G110" i="1"/>
  <c r="K110" i="1"/>
  <c r="G112" i="1"/>
  <c r="K112" i="1"/>
  <c r="I113" i="1"/>
  <c r="E114" i="1"/>
  <c r="G114" i="1" s="1"/>
  <c r="G115" i="1"/>
  <c r="K115" i="1"/>
  <c r="G118" i="1"/>
  <c r="K118" i="1"/>
  <c r="O118" i="1"/>
  <c r="G122" i="1"/>
  <c r="K122" i="1"/>
  <c r="O122" i="1"/>
  <c r="I124" i="1"/>
  <c r="O124" i="1"/>
  <c r="M124" i="1" s="1"/>
  <c r="G125" i="1"/>
  <c r="K125" i="1"/>
  <c r="M125" i="1"/>
  <c r="G128" i="1"/>
  <c r="K128" i="1"/>
  <c r="G130" i="1"/>
  <c r="K130" i="1"/>
  <c r="G131" i="1"/>
  <c r="E132" i="1"/>
  <c r="G132" i="1" s="1"/>
  <c r="G144" i="1"/>
  <c r="K144" i="1"/>
  <c r="M193" i="1"/>
  <c r="O193" i="1"/>
  <c r="G193" i="1"/>
  <c r="K193" i="1"/>
  <c r="O197" i="1"/>
  <c r="M197" i="1"/>
  <c r="K197" i="1"/>
  <c r="I197" i="1"/>
  <c r="M10" i="25"/>
  <c r="K10" i="25"/>
  <c r="I10" i="25"/>
  <c r="O40" i="26"/>
  <c r="I40" i="26"/>
  <c r="N34" i="26"/>
  <c r="J34" i="26"/>
  <c r="F34" i="26"/>
  <c r="M40" i="26"/>
  <c r="G40" i="26"/>
  <c r="L34" i="26"/>
  <c r="H34" i="26"/>
  <c r="I23" i="26"/>
  <c r="M23" i="26"/>
  <c r="G10" i="26"/>
  <c r="K10" i="26"/>
  <c r="K40" i="26"/>
  <c r="I13" i="27"/>
  <c r="M13" i="27"/>
  <c r="G16" i="1"/>
  <c r="K16" i="1"/>
  <c r="O16" i="1"/>
  <c r="I22" i="1"/>
  <c r="M22" i="1"/>
  <c r="E28" i="1"/>
  <c r="K28" i="1"/>
  <c r="M28" i="1"/>
  <c r="G32" i="1"/>
  <c r="K32" i="1"/>
  <c r="G33" i="1"/>
  <c r="K33" i="1"/>
  <c r="I34" i="1"/>
  <c r="M34" i="1"/>
  <c r="I36" i="1"/>
  <c r="E37" i="1"/>
  <c r="I40" i="1"/>
  <c r="M40" i="1"/>
  <c r="I44" i="1"/>
  <c r="M44" i="1"/>
  <c r="I45" i="1"/>
  <c r="G46" i="1"/>
  <c r="K46" i="1"/>
  <c r="O46" i="1"/>
  <c r="K47" i="1"/>
  <c r="I47" i="1" s="1"/>
  <c r="O47" i="1"/>
  <c r="I50" i="1"/>
  <c r="M50" i="1"/>
  <c r="I51" i="1"/>
  <c r="G52" i="1"/>
  <c r="K52" i="1"/>
  <c r="K54" i="1"/>
  <c r="I54" i="1" s="1"/>
  <c r="I64" i="1"/>
  <c r="M64" i="1"/>
  <c r="K72" i="1"/>
  <c r="I72" i="1" s="1"/>
  <c r="K75" i="1"/>
  <c r="I75" i="1" s="1"/>
  <c r="I78" i="1"/>
  <c r="G90" i="1"/>
  <c r="K90" i="1"/>
  <c r="O90" i="1"/>
  <c r="I91" i="1"/>
  <c r="M91" i="1"/>
  <c r="O91" i="1"/>
  <c r="K95" i="1"/>
  <c r="I101" i="1"/>
  <c r="I110" i="1"/>
  <c r="M110" i="1"/>
  <c r="I112" i="1"/>
  <c r="M112" i="1"/>
  <c r="I115" i="1"/>
  <c r="M115" i="1"/>
  <c r="I118" i="1"/>
  <c r="I122" i="1"/>
  <c r="I125" i="1"/>
  <c r="N126" i="1"/>
  <c r="O126" i="1" s="1"/>
  <c r="E127" i="1"/>
  <c r="I128" i="1"/>
  <c r="M128" i="1"/>
  <c r="I130" i="1"/>
  <c r="O130" i="1"/>
  <c r="I131" i="1"/>
  <c r="M131" i="1"/>
  <c r="M134" i="1"/>
  <c r="I134" i="1"/>
  <c r="O144" i="1"/>
  <c r="I144" i="1"/>
  <c r="M144" i="1"/>
  <c r="I193" i="1"/>
  <c r="K23" i="26"/>
  <c r="O7" i="27"/>
  <c r="M7" i="27"/>
  <c r="K7" i="27"/>
  <c r="I7" i="27"/>
  <c r="G7" i="27"/>
  <c r="G13" i="27"/>
  <c r="K13" i="27"/>
  <c r="O13" i="27"/>
  <c r="O19" i="27"/>
  <c r="M19" i="27"/>
  <c r="K19" i="27"/>
  <c r="I19" i="27"/>
  <c r="G19" i="27"/>
  <c r="I140" i="1"/>
  <c r="M140" i="1"/>
  <c r="O140" i="1"/>
  <c r="N141" i="1"/>
  <c r="I142" i="1"/>
  <c r="M142" i="1"/>
  <c r="O142" i="1"/>
  <c r="K143" i="1"/>
  <c r="O143" i="1"/>
  <c r="I149" i="1"/>
  <c r="M149" i="1"/>
  <c r="O149" i="1"/>
  <c r="I152" i="1"/>
  <c r="G156" i="1"/>
  <c r="K156" i="1"/>
  <c r="E158" i="1"/>
  <c r="G161" i="1"/>
  <c r="K161" i="1"/>
  <c r="G171" i="1"/>
  <c r="K171" i="1"/>
  <c r="I185" i="1"/>
  <c r="M185" i="1"/>
  <c r="K186" i="1"/>
  <c r="I186" i="1" s="1"/>
  <c r="E187" i="1"/>
  <c r="K196" i="1"/>
  <c r="O196" i="1"/>
  <c r="I5" i="25"/>
  <c r="M5" i="25"/>
  <c r="O5" i="25"/>
  <c r="I11" i="25"/>
  <c r="M11" i="25"/>
  <c r="E13" i="25"/>
  <c r="I15" i="25"/>
  <c r="M15" i="25"/>
  <c r="E16" i="25"/>
  <c r="I5" i="26"/>
  <c r="M5" i="26"/>
  <c r="O5" i="26"/>
  <c r="I8" i="26"/>
  <c r="I9" i="26"/>
  <c r="M9" i="26"/>
  <c r="O9" i="26"/>
  <c r="N10" i="26"/>
  <c r="O10" i="26" s="1"/>
  <c r="E16" i="27"/>
  <c r="O16" i="27" s="1"/>
  <c r="M8" i="42"/>
  <c r="I8" i="42"/>
  <c r="E10" i="42"/>
  <c r="K8" i="42"/>
  <c r="G8" i="42"/>
  <c r="M6" i="42"/>
  <c r="I6" i="42"/>
  <c r="K6" i="42"/>
  <c r="G6" i="42"/>
  <c r="E40" i="41"/>
  <c r="M10" i="43"/>
  <c r="E7" i="42"/>
  <c r="K6" i="41"/>
  <c r="G6" i="41"/>
  <c r="M6" i="41"/>
  <c r="I6" i="41"/>
  <c r="E13" i="40"/>
  <c r="K12" i="40"/>
  <c r="G12" i="40"/>
  <c r="M12" i="40"/>
  <c r="I12" i="40"/>
  <c r="M6" i="38"/>
  <c r="I6" i="38"/>
  <c r="K6" i="38"/>
  <c r="G6" i="38"/>
  <c r="M12" i="35"/>
  <c r="I12" i="35"/>
  <c r="K12" i="35"/>
  <c r="G12" i="35"/>
  <c r="M7" i="35"/>
  <c r="K7" i="35"/>
  <c r="I7" i="35"/>
  <c r="G7" i="35"/>
  <c r="M10" i="41"/>
  <c r="E7" i="41"/>
  <c r="M9" i="39"/>
  <c r="I9" i="39"/>
  <c r="E10" i="39"/>
  <c r="K9" i="39"/>
  <c r="G9" i="39"/>
  <c r="F40" i="39"/>
  <c r="E40" i="39" s="1"/>
  <c r="E7" i="38"/>
  <c r="O6" i="36"/>
  <c r="E23" i="36"/>
  <c r="M7" i="36"/>
  <c r="K7" i="36"/>
  <c r="I7" i="36"/>
  <c r="G7" i="36"/>
  <c r="F40" i="34"/>
  <c r="E40" i="34" s="1"/>
  <c r="E23" i="30"/>
  <c r="O7" i="30"/>
  <c r="M7" i="30"/>
  <c r="K7" i="30"/>
  <c r="I7" i="30"/>
  <c r="G7" i="30"/>
  <c r="O7" i="35"/>
  <c r="G20" i="34"/>
  <c r="E20" i="34"/>
  <c r="K20" i="34" s="1"/>
  <c r="E23" i="34"/>
  <c r="M13" i="32"/>
  <c r="K13" i="32"/>
  <c r="I13" i="32"/>
  <c r="G13" i="32"/>
  <c r="K11" i="32"/>
  <c r="G11" i="32"/>
  <c r="M11" i="32"/>
  <c r="I11" i="32"/>
  <c r="E10" i="32"/>
  <c r="K8" i="32"/>
  <c r="G8" i="32"/>
  <c r="M8" i="32"/>
  <c r="I8" i="32"/>
  <c r="I7" i="34"/>
  <c r="I13" i="33"/>
  <c r="I10" i="33"/>
  <c r="I40" i="30"/>
  <c r="K40" i="30"/>
  <c r="E40" i="30"/>
  <c r="O16" i="29"/>
  <c r="M16" i="29"/>
  <c r="K16" i="29"/>
  <c r="I16" i="29"/>
  <c r="G16" i="29"/>
  <c r="G13" i="33"/>
  <c r="G10" i="33"/>
  <c r="E40" i="32"/>
  <c r="K13" i="24"/>
  <c r="O10" i="28"/>
  <c r="I10" i="28"/>
  <c r="E23" i="28"/>
  <c r="I13" i="24"/>
  <c r="E136" i="1"/>
  <c r="O136" i="1" s="1"/>
  <c r="I137" i="1"/>
  <c r="M137" i="1"/>
  <c r="G140" i="1"/>
  <c r="G142" i="1"/>
  <c r="K142" i="1"/>
  <c r="I143" i="1"/>
  <c r="G149" i="1"/>
  <c r="K149" i="1"/>
  <c r="K152" i="1"/>
  <c r="M152" i="1"/>
  <c r="I156" i="1"/>
  <c r="I161" i="1"/>
  <c r="M161" i="1"/>
  <c r="I171" i="1"/>
  <c r="E173" i="1"/>
  <c r="O173" i="1" s="1"/>
  <c r="M183" i="1"/>
  <c r="G185" i="1"/>
  <c r="K185" i="1"/>
  <c r="G186" i="1"/>
  <c r="O186" i="1"/>
  <c r="K191" i="1"/>
  <c r="I192" i="1"/>
  <c r="K195" i="1"/>
  <c r="O195" i="1"/>
  <c r="I196" i="1"/>
  <c r="G196" i="1" s="1"/>
  <c r="G197" i="1"/>
  <c r="I198" i="1"/>
  <c r="M198" i="1"/>
  <c r="M202" i="1"/>
  <c r="G5" i="25"/>
  <c r="I8" i="25"/>
  <c r="M8" i="25"/>
  <c r="G10" i="25"/>
  <c r="G11" i="25"/>
  <c r="O11" i="25"/>
  <c r="I12" i="25"/>
  <c r="M12" i="25"/>
  <c r="I14" i="25"/>
  <c r="G15" i="25"/>
  <c r="G5" i="26"/>
  <c r="K5" i="26"/>
  <c r="G7" i="26"/>
  <c r="I7" i="26"/>
  <c r="K7" i="26"/>
  <c r="M7" i="26"/>
  <c r="O7" i="26"/>
  <c r="G8" i="26"/>
  <c r="M8" i="26"/>
  <c r="K8" i="26" s="1"/>
  <c r="G9" i="26"/>
  <c r="E10" i="27"/>
  <c r="G16" i="27"/>
  <c r="E40" i="27"/>
  <c r="M13" i="43"/>
  <c r="K13" i="43"/>
  <c r="I13" i="43"/>
  <c r="G13" i="43"/>
  <c r="K11" i="43"/>
  <c r="G11" i="43"/>
  <c r="M11" i="43"/>
  <c r="I11" i="43"/>
  <c r="E23" i="43"/>
  <c r="O7" i="43"/>
  <c r="M7" i="43"/>
  <c r="K7" i="43"/>
  <c r="I7" i="43"/>
  <c r="G7" i="43"/>
  <c r="G10" i="43"/>
  <c r="I10" i="43"/>
  <c r="O8" i="42"/>
  <c r="O10" i="41"/>
  <c r="G10" i="41"/>
  <c r="N23" i="41"/>
  <c r="F40" i="38"/>
  <c r="E40" i="38" s="1"/>
  <c r="E10" i="38"/>
  <c r="K8" i="38"/>
  <c r="I8" i="38" s="1"/>
  <c r="G8" i="38"/>
  <c r="E7" i="37"/>
  <c r="M5" i="37"/>
  <c r="I5" i="37"/>
  <c r="K5" i="37"/>
  <c r="G5" i="37"/>
  <c r="M5" i="35"/>
  <c r="I5" i="35"/>
  <c r="K5" i="35"/>
  <c r="G5" i="35"/>
  <c r="O12" i="40"/>
  <c r="O9" i="39"/>
  <c r="E13" i="35"/>
  <c r="O6" i="38"/>
  <c r="O10" i="31"/>
  <c r="M11" i="31"/>
  <c r="I11" i="31"/>
  <c r="K11" i="31"/>
  <c r="G11" i="31"/>
  <c r="G23" i="30"/>
  <c r="M10" i="30"/>
  <c r="K10" i="30"/>
  <c r="I10" i="30"/>
  <c r="G10" i="30"/>
  <c r="M8" i="30"/>
  <c r="I8" i="30"/>
  <c r="K8" i="30"/>
  <c r="G8" i="30"/>
  <c r="M8" i="38"/>
  <c r="O12" i="35"/>
  <c r="M20" i="34"/>
  <c r="I20" i="34"/>
  <c r="O11" i="32"/>
  <c r="O8" i="32"/>
  <c r="O6" i="32"/>
  <c r="E23" i="32"/>
  <c r="M7" i="34"/>
  <c r="M13" i="33"/>
  <c r="M10" i="33"/>
  <c r="E23" i="33"/>
  <c r="O13" i="32"/>
  <c r="I7" i="32"/>
  <c r="E23" i="24"/>
  <c r="I40" i="24" s="1"/>
  <c r="O7" i="24"/>
  <c r="K7" i="24"/>
  <c r="G7" i="24"/>
  <c r="M7" i="24"/>
  <c r="I7" i="24"/>
  <c r="K7" i="34"/>
  <c r="K13" i="33"/>
  <c r="K10" i="33"/>
  <c r="O10" i="33"/>
  <c r="M23" i="24"/>
  <c r="K10" i="28"/>
  <c r="M13" i="24"/>
  <c r="O40" i="33" l="1"/>
  <c r="G40" i="33"/>
  <c r="H34" i="33"/>
  <c r="M40" i="33"/>
  <c r="J34" i="33"/>
  <c r="F34" i="33"/>
  <c r="I23" i="33"/>
  <c r="M23" i="33"/>
  <c r="I40" i="33"/>
  <c r="M40" i="32"/>
  <c r="L34" i="32"/>
  <c r="H34" i="32"/>
  <c r="O40" i="32"/>
  <c r="I40" i="32"/>
  <c r="N34" i="32"/>
  <c r="J34" i="32"/>
  <c r="F34" i="32"/>
  <c r="E34" i="32" s="1"/>
  <c r="G23" i="32"/>
  <c r="K23" i="32"/>
  <c r="K40" i="32"/>
  <c r="M13" i="35"/>
  <c r="K13" i="35"/>
  <c r="I13" i="35"/>
  <c r="G13" i="35"/>
  <c r="I7" i="37"/>
  <c r="G7" i="37"/>
  <c r="M7" i="37"/>
  <c r="K7" i="37"/>
  <c r="O10" i="27"/>
  <c r="M10" i="27"/>
  <c r="K10" i="27"/>
  <c r="I10" i="27"/>
  <c r="G10" i="27"/>
  <c r="M40" i="28"/>
  <c r="L34" i="28"/>
  <c r="H34" i="28"/>
  <c r="O40" i="28"/>
  <c r="K40" i="28"/>
  <c r="N34" i="28"/>
  <c r="F34" i="28"/>
  <c r="J34" i="28"/>
  <c r="I40" i="28"/>
  <c r="M10" i="32"/>
  <c r="K10" i="32"/>
  <c r="I10" i="32"/>
  <c r="G10" i="32"/>
  <c r="O10" i="32"/>
  <c r="O40" i="30"/>
  <c r="N34" i="30"/>
  <c r="J34" i="30"/>
  <c r="F34" i="30"/>
  <c r="M40" i="30"/>
  <c r="G40" i="30"/>
  <c r="L34" i="30"/>
  <c r="H34" i="30"/>
  <c r="M23" i="30"/>
  <c r="K23" i="30"/>
  <c r="I23" i="30"/>
  <c r="G7" i="38"/>
  <c r="K7" i="38"/>
  <c r="I7" i="38"/>
  <c r="M7" i="38"/>
  <c r="M10" i="39"/>
  <c r="K10" i="39"/>
  <c r="I10" i="39"/>
  <c r="G10" i="39"/>
  <c r="M13" i="40"/>
  <c r="K13" i="40"/>
  <c r="I13" i="40"/>
  <c r="G13" i="40"/>
  <c r="O12" i="25"/>
  <c r="O13" i="25"/>
  <c r="M13" i="25"/>
  <c r="K13" i="25"/>
  <c r="I13" i="25"/>
  <c r="G13" i="25"/>
  <c r="M187" i="1"/>
  <c r="K187" i="1"/>
  <c r="I187" i="1"/>
  <c r="G187" i="1"/>
  <c r="K158" i="1"/>
  <c r="G158" i="1"/>
  <c r="M158" i="1"/>
  <c r="I158" i="1"/>
  <c r="M16" i="27"/>
  <c r="E23" i="27"/>
  <c r="O36" i="1"/>
  <c r="M37" i="1"/>
  <c r="K37" i="1"/>
  <c r="I37" i="1"/>
  <c r="G37" i="1"/>
  <c r="O28" i="1"/>
  <c r="G28" i="1"/>
  <c r="K16" i="27"/>
  <c r="E34" i="26"/>
  <c r="O187" i="1"/>
  <c r="K42" i="1"/>
  <c r="G42" i="1"/>
  <c r="M42" i="1"/>
  <c r="I42" i="1"/>
  <c r="O34" i="1"/>
  <c r="I28" i="1"/>
  <c r="M132" i="1"/>
  <c r="I114" i="1"/>
  <c r="K77" i="1"/>
  <c r="K132" i="1"/>
  <c r="K114" i="1"/>
  <c r="I77" i="1"/>
  <c r="M40" i="24"/>
  <c r="L34" i="24"/>
  <c r="H34" i="24"/>
  <c r="O40" i="24"/>
  <c r="K40" i="24"/>
  <c r="N34" i="24"/>
  <c r="J34" i="24"/>
  <c r="F34" i="24"/>
  <c r="I23" i="24"/>
  <c r="G40" i="24"/>
  <c r="K10" i="38"/>
  <c r="I10" i="38"/>
  <c r="G10" i="38"/>
  <c r="M40" i="43"/>
  <c r="I40" i="43"/>
  <c r="K40" i="43"/>
  <c r="O40" i="43"/>
  <c r="L34" i="43"/>
  <c r="N34" i="43"/>
  <c r="F34" i="43"/>
  <c r="J34" i="43"/>
  <c r="M173" i="1"/>
  <c r="I173" i="1"/>
  <c r="K173" i="1"/>
  <c r="G173" i="1"/>
  <c r="M136" i="1"/>
  <c r="I136" i="1"/>
  <c r="E138" i="1"/>
  <c r="K136" i="1"/>
  <c r="G136" i="1"/>
  <c r="G40" i="32"/>
  <c r="M40" i="34"/>
  <c r="N34" i="34"/>
  <c r="J34" i="34"/>
  <c r="F34" i="34"/>
  <c r="O40" i="34"/>
  <c r="K40" i="34"/>
  <c r="I40" i="34"/>
  <c r="G40" i="34" s="1"/>
  <c r="L34" i="34"/>
  <c r="K23" i="34"/>
  <c r="G23" i="34"/>
  <c r="M40" i="36"/>
  <c r="L34" i="36"/>
  <c r="H34" i="36"/>
  <c r="O40" i="36"/>
  <c r="K40" i="36"/>
  <c r="I40" i="36"/>
  <c r="N34" i="36"/>
  <c r="J34" i="36"/>
  <c r="F34" i="36"/>
  <c r="G40" i="36"/>
  <c r="O6" i="41"/>
  <c r="E23" i="41"/>
  <c r="O23" i="41" s="1"/>
  <c r="O30" i="41" s="1"/>
  <c r="I7" i="41"/>
  <c r="G7" i="41"/>
  <c r="O7" i="41"/>
  <c r="M7" i="41"/>
  <c r="K7" i="41"/>
  <c r="E23" i="35"/>
  <c r="O6" i="42"/>
  <c r="E23" i="42"/>
  <c r="M7" i="42"/>
  <c r="K7" i="42"/>
  <c r="I7" i="42"/>
  <c r="O7" i="42"/>
  <c r="G7" i="42"/>
  <c r="O9" i="42"/>
  <c r="M10" i="42"/>
  <c r="K10" i="42"/>
  <c r="I10" i="42"/>
  <c r="G10" i="42"/>
  <c r="O15" i="25"/>
  <c r="M16" i="25"/>
  <c r="K16" i="25"/>
  <c r="I16" i="25"/>
  <c r="G16" i="25"/>
  <c r="I16" i="27"/>
  <c r="N23" i="26"/>
  <c r="O23" i="26" s="1"/>
  <c r="M127" i="1"/>
  <c r="I127" i="1"/>
  <c r="E129" i="1"/>
  <c r="K127" i="1"/>
  <c r="G127" i="1"/>
  <c r="O127" i="1"/>
  <c r="K69" i="1"/>
  <c r="G69" i="1"/>
  <c r="M69" i="1"/>
  <c r="I69" i="1"/>
  <c r="K66" i="1"/>
  <c r="G66" i="1"/>
  <c r="M66" i="1"/>
  <c r="I66" i="1"/>
  <c r="K57" i="1"/>
  <c r="G57" i="1"/>
  <c r="M57" i="1"/>
  <c r="I57" i="1"/>
  <c r="I132" i="1"/>
  <c r="M114" i="1"/>
  <c r="O114" i="1"/>
  <c r="O77" i="1"/>
  <c r="G77" i="1"/>
  <c r="O42" i="1"/>
  <c r="O37" i="1"/>
  <c r="E34" i="36" l="1"/>
  <c r="O137" i="1"/>
  <c r="M138" i="1"/>
  <c r="K138" i="1"/>
  <c r="I138" i="1"/>
  <c r="G138" i="1"/>
  <c r="O138" i="1"/>
  <c r="E34" i="24"/>
  <c r="M40" i="27"/>
  <c r="L34" i="27"/>
  <c r="H34" i="27"/>
  <c r="O40" i="27"/>
  <c r="K40" i="27"/>
  <c r="N34" i="27"/>
  <c r="J34" i="27"/>
  <c r="F34" i="27"/>
  <c r="I40" i="27"/>
  <c r="G40" i="27"/>
  <c r="E34" i="28"/>
  <c r="E34" i="33"/>
  <c r="G129" i="1"/>
  <c r="I129" i="1"/>
  <c r="K129" i="1"/>
  <c r="O129" i="1"/>
  <c r="M129" i="1"/>
  <c r="M40" i="42"/>
  <c r="I40" i="42"/>
  <c r="L34" i="42"/>
  <c r="H34" i="42"/>
  <c r="O40" i="42"/>
  <c r="K40" i="42"/>
  <c r="N34" i="42"/>
  <c r="J34" i="42"/>
  <c r="F34" i="42"/>
  <c r="E34" i="42" s="1"/>
  <c r="O40" i="35"/>
  <c r="L34" i="35"/>
  <c r="H34" i="35"/>
  <c r="M40" i="35"/>
  <c r="G40" i="35"/>
  <c r="N34" i="35"/>
  <c r="J34" i="35"/>
  <c r="F34" i="35"/>
  <c r="E34" i="35" s="1"/>
  <c r="I23" i="35"/>
  <c r="I40" i="35"/>
  <c r="K40" i="35"/>
  <c r="G23" i="35"/>
  <c r="O16" i="41"/>
  <c r="O40" i="41"/>
  <c r="K40" i="41"/>
  <c r="N34" i="41"/>
  <c r="J34" i="41"/>
  <c r="F34" i="41"/>
  <c r="M40" i="41"/>
  <c r="L34" i="41"/>
  <c r="H34" i="41"/>
  <c r="G23" i="41"/>
  <c r="K23" i="41"/>
  <c r="I40" i="41"/>
  <c r="G40" i="41"/>
  <c r="E34" i="30"/>
  <c r="E34" i="27" l="1"/>
  <c r="E34" i="41"/>
  <c r="H23" i="34"/>
  <c r="I23" i="34"/>
  <c r="I30" i="34"/>
  <c r="I33" i="34"/>
  <c r="H34" i="34"/>
  <c r="E34" i="34"/>
  <c r="H23" i="43"/>
  <c r="I23" i="43"/>
  <c r="I30" i="43"/>
  <c r="I33" i="43"/>
  <c r="H34" i="43"/>
  <c r="E34" i="43"/>
  <c r="L23" i="41"/>
  <c r="M23" i="41"/>
  <c r="M30" i="41"/>
  <c r="K30" i="41"/>
  <c r="H23" i="41"/>
  <c r="I23" i="41"/>
  <c r="I30" i="41"/>
  <c r="G30" i="41"/>
  <c r="N23" i="27"/>
  <c r="O23" i="27"/>
  <c r="O30" i="27"/>
  <c r="L23" i="27"/>
  <c r="M23" i="27"/>
  <c r="M30" i="27"/>
  <c r="J23" i="27"/>
  <c r="K23" i="27"/>
  <c r="K30" i="27"/>
  <c r="H23" i="27"/>
  <c r="I23" i="27"/>
  <c r="I30" i="27"/>
  <c r="F23" i="27"/>
  <c r="G23" i="27"/>
  <c r="G30" i="27"/>
  <c r="E201" i="1"/>
  <c r="E203" i="1"/>
  <c r="G203" i="1"/>
  <c r="I203" i="1"/>
  <c r="K203" i="1"/>
  <c r="O203" i="1"/>
  <c r="M203" i="1"/>
  <c r="E199" i="1"/>
  <c r="E200" i="1"/>
  <c r="K200" i="1"/>
  <c r="I200" i="1"/>
  <c r="G200" i="1"/>
  <c r="M200" i="1"/>
  <c r="O200" i="1"/>
  <c r="E182" i="1"/>
  <c r="E184" i="1"/>
  <c r="M184" i="1"/>
  <c r="G184" i="1"/>
  <c r="I184" i="1"/>
  <c r="K184" i="1"/>
  <c r="O184" i="1"/>
  <c r="E167" i="1"/>
  <c r="E168" i="1"/>
  <c r="E169" i="1"/>
  <c r="K169" i="1"/>
  <c r="O169" i="1"/>
  <c r="I169" i="1"/>
  <c r="G169" i="1"/>
  <c r="M169" i="1"/>
  <c r="E164" i="1"/>
  <c r="E165" i="1"/>
  <c r="E166" i="1"/>
  <c r="G166" i="1"/>
  <c r="I166" i="1"/>
  <c r="K166" i="1"/>
  <c r="O166" i="1"/>
  <c r="M166" i="1"/>
  <c r="E162" i="1"/>
  <c r="E163" i="1"/>
  <c r="K163" i="1"/>
  <c r="O163" i="1"/>
  <c r="I163" i="1"/>
  <c r="G163" i="1"/>
  <c r="M163" i="1"/>
  <c r="E159" i="1"/>
  <c r="E160" i="1"/>
  <c r="I160" i="1"/>
  <c r="G160" i="1"/>
  <c r="M160" i="1"/>
  <c r="K160" i="1"/>
  <c r="O160" i="1"/>
  <c r="E153" i="1"/>
  <c r="E154" i="1"/>
  <c r="I154" i="1"/>
  <c r="G154" i="1"/>
  <c r="M154" i="1"/>
  <c r="K154" i="1"/>
  <c r="O154" i="1"/>
  <c r="E150" i="1"/>
  <c r="E151" i="1"/>
  <c r="K151" i="1"/>
  <c r="O151" i="1"/>
  <c r="M151" i="1"/>
  <c r="G151" i="1"/>
  <c r="I151" i="1"/>
  <c r="E139" i="1"/>
  <c r="E141" i="1"/>
  <c r="O141" i="1"/>
  <c r="M141" i="1"/>
  <c r="K141" i="1"/>
  <c r="I141" i="1"/>
  <c r="G141" i="1"/>
  <c r="E133" i="1"/>
  <c r="E135" i="1"/>
  <c r="O135" i="1"/>
  <c r="I135" i="1"/>
  <c r="G135" i="1"/>
  <c r="M135" i="1"/>
  <c r="K135" i="1"/>
  <c r="O134" i="1"/>
  <c r="E106" i="1"/>
  <c r="E107" i="1"/>
  <c r="E108" i="1"/>
  <c r="G108" i="1"/>
  <c r="M108" i="1"/>
  <c r="I108" i="1"/>
  <c r="K108" i="1"/>
  <c r="O108" i="1"/>
  <c r="E116" i="1"/>
  <c r="E117" i="1"/>
  <c r="K117" i="1"/>
  <c r="O117" i="1"/>
  <c r="M117" i="1"/>
  <c r="G117" i="1"/>
  <c r="I117" i="1"/>
  <c r="E109" i="1"/>
  <c r="E111" i="1"/>
  <c r="M111" i="1"/>
  <c r="O111" i="1"/>
  <c r="K111" i="1"/>
  <c r="I111" i="1"/>
  <c r="G111" i="1"/>
  <c r="E103" i="1"/>
  <c r="E104" i="1"/>
  <c r="E105" i="1"/>
  <c r="G105" i="1"/>
  <c r="I105" i="1"/>
  <c r="K105" i="1"/>
  <c r="M105" i="1"/>
  <c r="E97" i="1"/>
  <c r="E98" i="1"/>
  <c r="E99" i="1"/>
  <c r="G99" i="1"/>
  <c r="M99" i="1"/>
  <c r="K99" i="1"/>
  <c r="O99" i="1"/>
  <c r="I99" i="1"/>
  <c r="E94" i="1"/>
  <c r="E96" i="1"/>
  <c r="K96" i="1"/>
  <c r="O96" i="1"/>
  <c r="M96" i="1"/>
  <c r="G96" i="1"/>
  <c r="I96" i="1"/>
  <c r="E92" i="1"/>
  <c r="E93" i="1"/>
  <c r="G93" i="1"/>
  <c r="M93" i="1"/>
  <c r="K93" i="1"/>
  <c r="O93" i="1"/>
  <c r="I93" i="1"/>
  <c r="E79" i="1"/>
  <c r="E80" i="1"/>
  <c r="I80" i="1"/>
  <c r="M80" i="1"/>
  <c r="G80" i="1"/>
  <c r="O80" i="1"/>
  <c r="K80" i="1"/>
  <c r="E73" i="1"/>
  <c r="E74" i="1"/>
  <c r="O74" i="1"/>
  <c r="G74" i="1"/>
  <c r="I74" i="1"/>
  <c r="K74" i="1"/>
  <c r="M74" i="1"/>
  <c r="E70" i="1"/>
  <c r="E71" i="1"/>
  <c r="G71" i="1"/>
  <c r="I71" i="1"/>
  <c r="K71" i="1"/>
  <c r="O71" i="1"/>
  <c r="M71" i="1"/>
  <c r="E67" i="1"/>
  <c r="E68" i="1"/>
  <c r="O68" i="1"/>
  <c r="K68" i="1"/>
  <c r="I68" i="1"/>
  <c r="G68" i="1"/>
  <c r="M68" i="1"/>
  <c r="E63" i="1"/>
  <c r="E65" i="1"/>
  <c r="O65" i="1"/>
  <c r="K65" i="1"/>
  <c r="I65" i="1"/>
  <c r="G65" i="1"/>
  <c r="M65" i="1"/>
  <c r="E53" i="1"/>
  <c r="E55" i="1"/>
  <c r="I55" i="1"/>
  <c r="K55" i="1"/>
  <c r="M55" i="1"/>
  <c r="G55" i="1"/>
  <c r="E6" i="39"/>
  <c r="E7" i="39"/>
  <c r="E23" i="39"/>
  <c r="G23" i="39"/>
  <c r="G30" i="39"/>
  <c r="G33" i="39"/>
  <c r="E33" i="39"/>
  <c r="F34" i="39"/>
  <c r="H34" i="39"/>
  <c r="J34" i="39"/>
  <c r="L34" i="39"/>
  <c r="E34" i="39"/>
  <c r="N43" i="1"/>
  <c r="E41" i="1"/>
  <c r="E43" i="1"/>
  <c r="O43" i="1"/>
  <c r="G41" i="1"/>
  <c r="K41" i="1"/>
  <c r="I41" i="1"/>
  <c r="M41" i="1"/>
  <c r="O41" i="1"/>
  <c r="O40" i="1"/>
  <c r="G43" i="1"/>
  <c r="I43" i="1"/>
  <c r="K43" i="1"/>
  <c r="M43" i="1"/>
  <c r="O53" i="1"/>
  <c r="I53" i="1"/>
  <c r="M53" i="1"/>
  <c r="G53" i="1"/>
  <c r="K53" i="1"/>
  <c r="O52" i="1"/>
  <c r="E56" i="1"/>
  <c r="G56" i="1"/>
  <c r="K56" i="1"/>
  <c r="I56" i="1"/>
  <c r="M56" i="1"/>
  <c r="O56" i="1"/>
  <c r="E58" i="1"/>
  <c r="O55" i="1"/>
  <c r="O58" i="1"/>
  <c r="G58" i="1"/>
  <c r="I58" i="1"/>
  <c r="K58" i="1"/>
  <c r="M58" i="1"/>
  <c r="O63" i="1"/>
  <c r="G63" i="1"/>
  <c r="M63" i="1"/>
  <c r="K63" i="1"/>
  <c r="I63" i="1"/>
  <c r="K67" i="1"/>
  <c r="I67" i="1"/>
  <c r="G67" i="1"/>
  <c r="M67" i="1"/>
  <c r="O67" i="1"/>
  <c r="G70" i="1"/>
  <c r="K70" i="1"/>
  <c r="I70" i="1"/>
  <c r="M70" i="1"/>
  <c r="O70" i="1"/>
  <c r="O69" i="1"/>
  <c r="G73" i="1"/>
  <c r="K73" i="1"/>
  <c r="I73" i="1"/>
  <c r="M73" i="1"/>
  <c r="O73" i="1"/>
  <c r="K79" i="1"/>
  <c r="I79" i="1"/>
  <c r="G79" i="1"/>
  <c r="M79" i="1"/>
  <c r="O79" i="1"/>
  <c r="G92" i="1"/>
  <c r="K92" i="1"/>
  <c r="I92" i="1"/>
  <c r="M92" i="1"/>
  <c r="O92" i="1"/>
  <c r="O94" i="1"/>
  <c r="I94" i="1"/>
  <c r="M94" i="1"/>
  <c r="G94" i="1"/>
  <c r="K94" i="1"/>
  <c r="I97" i="1"/>
  <c r="G97" i="1"/>
  <c r="M97" i="1"/>
  <c r="K97" i="1"/>
  <c r="O97" i="1"/>
  <c r="G98" i="1"/>
  <c r="K98" i="1"/>
  <c r="I98" i="1"/>
  <c r="M98" i="1"/>
  <c r="O98" i="1"/>
  <c r="E100" i="1"/>
  <c r="O100" i="1"/>
  <c r="I100" i="1"/>
  <c r="M100" i="1"/>
  <c r="G100" i="1"/>
  <c r="K100" i="1"/>
  <c r="E102" i="1"/>
  <c r="G102" i="1"/>
  <c r="I102" i="1"/>
  <c r="K102" i="1"/>
  <c r="M102" i="1"/>
  <c r="O103" i="1"/>
  <c r="I103" i="1"/>
  <c r="M103" i="1"/>
  <c r="G103" i="1"/>
  <c r="K103" i="1"/>
  <c r="O102" i="1"/>
  <c r="O104" i="1"/>
  <c r="I104" i="1"/>
  <c r="M104" i="1"/>
  <c r="G104" i="1"/>
  <c r="K104" i="1"/>
  <c r="G106" i="1"/>
  <c r="K106" i="1"/>
  <c r="I106" i="1"/>
  <c r="M106" i="1"/>
  <c r="O106" i="1"/>
  <c r="O105" i="1"/>
  <c r="G107" i="1"/>
  <c r="K107" i="1"/>
  <c r="I107" i="1"/>
  <c r="M107" i="1"/>
  <c r="O107" i="1"/>
  <c r="O109" i="1"/>
  <c r="I109" i="1"/>
  <c r="G109" i="1"/>
  <c r="M109" i="1"/>
  <c r="K109" i="1"/>
  <c r="G116" i="1"/>
  <c r="K116" i="1"/>
  <c r="I116" i="1"/>
  <c r="M116" i="1"/>
  <c r="O116" i="1"/>
  <c r="E119" i="1"/>
  <c r="E120" i="1"/>
  <c r="I119" i="1"/>
  <c r="G119" i="1"/>
  <c r="M119" i="1"/>
  <c r="K119" i="1"/>
  <c r="O119" i="1"/>
  <c r="I120" i="1"/>
  <c r="G120" i="1"/>
  <c r="O120" i="1"/>
  <c r="K120" i="1"/>
  <c r="M120" i="1"/>
  <c r="E121" i="1"/>
  <c r="O121" i="1"/>
  <c r="G121" i="1"/>
  <c r="M121" i="1"/>
  <c r="K121" i="1"/>
  <c r="I121" i="1"/>
  <c r="E123" i="1"/>
  <c r="O123" i="1"/>
  <c r="G123" i="1"/>
  <c r="I123" i="1"/>
  <c r="K123" i="1"/>
  <c r="M123" i="1"/>
  <c r="E170" i="1"/>
  <c r="E172" i="1"/>
  <c r="O172" i="1"/>
  <c r="G172" i="1"/>
  <c r="I172" i="1"/>
  <c r="K172" i="1"/>
  <c r="M172" i="1"/>
  <c r="E174" i="1"/>
  <c r="E175" i="1"/>
  <c r="O175" i="1"/>
  <c r="G175" i="1"/>
  <c r="I175" i="1"/>
  <c r="K175" i="1"/>
  <c r="M175" i="1"/>
  <c r="E176" i="1"/>
  <c r="E177" i="1"/>
  <c r="E178" i="1"/>
  <c r="O178" i="1"/>
  <c r="G178" i="1"/>
  <c r="I178" i="1"/>
  <c r="K178" i="1"/>
  <c r="M178" i="1"/>
  <c r="E179" i="1"/>
  <c r="E180" i="1"/>
  <c r="E181" i="1"/>
  <c r="O181" i="1"/>
  <c r="G181" i="1"/>
  <c r="I181" i="1"/>
  <c r="K181" i="1"/>
  <c r="M181" i="1"/>
  <c r="E189" i="1"/>
  <c r="E190" i="1"/>
  <c r="O190" i="1"/>
  <c r="G190" i="1"/>
  <c r="I190" i="1"/>
  <c r="K190" i="1"/>
  <c r="M190" i="1"/>
  <c r="E6" i="25"/>
  <c r="E7" i="25"/>
  <c r="O7" i="25"/>
  <c r="G7" i="25"/>
  <c r="I7" i="25"/>
  <c r="K7" i="25"/>
  <c r="M7" i="25"/>
  <c r="E23" i="25"/>
  <c r="N10" i="25"/>
  <c r="N16" i="25"/>
  <c r="N23" i="25"/>
  <c r="O23" i="25"/>
  <c r="F34" i="25"/>
  <c r="H34" i="25"/>
  <c r="J34" i="25"/>
  <c r="L34" i="25"/>
  <c r="E34" i="25"/>
  <c r="N10" i="30"/>
  <c r="N23" i="30"/>
  <c r="O23" i="30"/>
  <c r="O30" i="30"/>
  <c r="M30" i="30"/>
  <c r="K30" i="30"/>
  <c r="I30" i="30"/>
  <c r="G30" i="30"/>
  <c r="N23" i="28"/>
  <c r="O23" i="28"/>
  <c r="O30" i="28"/>
  <c r="L23" i="28"/>
  <c r="M23" i="28"/>
  <c r="M30" i="28"/>
  <c r="J23" i="28"/>
  <c r="K23" i="28"/>
  <c r="K30" i="28"/>
  <c r="H23" i="28"/>
  <c r="I23" i="28"/>
  <c r="I30" i="28"/>
  <c r="F23" i="28"/>
  <c r="G23" i="28"/>
  <c r="G30" i="28"/>
  <c r="I133" i="1"/>
  <c r="G133" i="1"/>
  <c r="M133" i="1"/>
  <c r="O133" i="1"/>
  <c r="K133" i="1"/>
  <c r="O132" i="1"/>
  <c r="O139" i="1"/>
  <c r="K139" i="1"/>
  <c r="I139" i="1"/>
  <c r="G139" i="1"/>
  <c r="M139" i="1"/>
  <c r="O150" i="1"/>
  <c r="I150" i="1"/>
  <c r="M150" i="1"/>
  <c r="G150" i="1"/>
  <c r="K150" i="1"/>
  <c r="G153" i="1"/>
  <c r="K153" i="1"/>
  <c r="I153" i="1"/>
  <c r="M153" i="1"/>
  <c r="O153" i="1"/>
  <c r="E155" i="1"/>
  <c r="O155" i="1"/>
  <c r="I155" i="1"/>
  <c r="M155" i="1"/>
  <c r="G155" i="1"/>
  <c r="K155" i="1"/>
  <c r="E157" i="1"/>
  <c r="G157" i="1"/>
  <c r="O157" i="1"/>
  <c r="I157" i="1"/>
  <c r="K157" i="1"/>
  <c r="M157" i="1"/>
  <c r="O156" i="1"/>
  <c r="G159" i="1"/>
  <c r="K159" i="1"/>
  <c r="I159" i="1"/>
  <c r="M159" i="1"/>
  <c r="O159" i="1"/>
  <c r="O158" i="1"/>
  <c r="G162" i="1"/>
  <c r="K162" i="1"/>
  <c r="I162" i="1"/>
  <c r="M162" i="1"/>
  <c r="O162" i="1"/>
  <c r="I164" i="1"/>
  <c r="G164" i="1"/>
  <c r="M164" i="1"/>
  <c r="K164" i="1"/>
  <c r="O164" i="1"/>
  <c r="G165" i="1"/>
  <c r="K165" i="1"/>
  <c r="I165" i="1"/>
  <c r="M165" i="1"/>
  <c r="O165" i="1"/>
  <c r="I167" i="1"/>
  <c r="M167" i="1"/>
  <c r="G167" i="1"/>
  <c r="K167" i="1"/>
  <c r="G168" i="1"/>
  <c r="K168" i="1"/>
  <c r="I168" i="1"/>
  <c r="M168" i="1"/>
  <c r="O168" i="1"/>
  <c r="O167" i="1"/>
  <c r="O170" i="1"/>
  <c r="I170" i="1"/>
  <c r="M170" i="1"/>
  <c r="G170" i="1"/>
  <c r="K170" i="1"/>
  <c r="O174" i="1"/>
  <c r="G174" i="1"/>
  <c r="K174" i="1"/>
  <c r="I174" i="1"/>
  <c r="M174" i="1"/>
  <c r="O176" i="1"/>
  <c r="I176" i="1"/>
  <c r="G176" i="1"/>
  <c r="M176" i="1"/>
  <c r="K176" i="1"/>
  <c r="O177" i="1"/>
  <c r="G177" i="1"/>
  <c r="K177" i="1"/>
  <c r="I177" i="1"/>
  <c r="M177" i="1"/>
  <c r="I179" i="1"/>
  <c r="M179" i="1"/>
  <c r="G179" i="1"/>
  <c r="K179" i="1"/>
  <c r="O180" i="1"/>
  <c r="G180" i="1"/>
  <c r="K180" i="1"/>
  <c r="I180" i="1"/>
  <c r="M180" i="1"/>
  <c r="O179" i="1"/>
  <c r="I182" i="1"/>
  <c r="M182" i="1"/>
  <c r="O182" i="1"/>
  <c r="G182" i="1"/>
  <c r="K182" i="1"/>
  <c r="O189" i="1"/>
  <c r="I189" i="1"/>
  <c r="G189" i="1"/>
  <c r="M189" i="1"/>
  <c r="K189" i="1"/>
  <c r="I199" i="1"/>
  <c r="M199" i="1"/>
  <c r="O199" i="1"/>
  <c r="G199" i="1"/>
  <c r="K199" i="1"/>
  <c r="G201" i="1"/>
  <c r="M201" i="1"/>
  <c r="O201" i="1"/>
  <c r="K201" i="1"/>
  <c r="I201" i="1"/>
  <c r="O6" i="25"/>
  <c r="I6" i="25"/>
  <c r="G6" i="25"/>
  <c r="M6" i="25"/>
  <c r="K6" i="25"/>
  <c r="O10" i="25"/>
  <c r="O16" i="25"/>
  <c r="F40" i="25"/>
  <c r="E40" i="25"/>
  <c r="G40" i="25"/>
  <c r="M23" i="25"/>
  <c r="G23" i="25"/>
  <c r="K40" i="25"/>
  <c r="I23" i="25"/>
  <c r="I40" i="25"/>
  <c r="K23" i="25"/>
  <c r="M40" i="25"/>
  <c r="N34" i="25"/>
  <c r="O40" i="25"/>
  <c r="E12" i="38"/>
  <c r="E13" i="38"/>
  <c r="E20" i="38"/>
  <c r="E23" i="38"/>
  <c r="M13" i="38"/>
  <c r="K13" i="38"/>
  <c r="O13" i="38"/>
  <c r="I13" i="38"/>
  <c r="G13" i="38"/>
  <c r="N7" i="32"/>
  <c r="N23" i="32"/>
  <c r="O23" i="32"/>
  <c r="O30" i="32"/>
  <c r="L23" i="32"/>
  <c r="M23" i="32"/>
  <c r="M30" i="32"/>
  <c r="K30" i="32"/>
  <c r="H23" i="32"/>
  <c r="I23" i="32"/>
  <c r="I30" i="32"/>
  <c r="G30" i="32"/>
  <c r="N23" i="31"/>
  <c r="E12" i="31"/>
  <c r="E13" i="31"/>
  <c r="E23" i="31"/>
  <c r="O23" i="31"/>
  <c r="O30" i="31"/>
  <c r="L23" i="31"/>
  <c r="M23" i="31"/>
  <c r="M30" i="31"/>
  <c r="J23" i="31"/>
  <c r="K23" i="31"/>
  <c r="K30" i="31"/>
  <c r="H23" i="31"/>
  <c r="I23" i="31"/>
  <c r="I30" i="31"/>
  <c r="F23" i="31"/>
  <c r="G23" i="31"/>
  <c r="G30" i="31"/>
  <c r="N13" i="24"/>
  <c r="N23" i="24"/>
  <c r="O23" i="24"/>
  <c r="O30" i="24"/>
  <c r="M30" i="24"/>
  <c r="J23" i="24"/>
  <c r="K23" i="24"/>
  <c r="K30" i="24"/>
  <c r="I30" i="24"/>
  <c r="F23" i="24"/>
  <c r="G23" i="24"/>
  <c r="G30" i="24"/>
  <c r="O13" i="31"/>
  <c r="K13" i="31"/>
  <c r="M13" i="31"/>
  <c r="G13" i="31"/>
  <c r="I13" i="31"/>
  <c r="N10" i="29"/>
  <c r="N23" i="29"/>
  <c r="E9" i="29"/>
  <c r="E10" i="29"/>
  <c r="E23" i="29"/>
  <c r="O23" i="29"/>
  <c r="O30" i="29"/>
  <c r="L23" i="29"/>
  <c r="M23" i="29"/>
  <c r="M30" i="29"/>
  <c r="J23" i="29"/>
  <c r="K23" i="29"/>
  <c r="K30" i="29"/>
  <c r="H23" i="29"/>
  <c r="I23" i="29"/>
  <c r="I30" i="29"/>
  <c r="F23" i="29"/>
  <c r="G23" i="29"/>
  <c r="G30" i="29"/>
  <c r="O13" i="24"/>
  <c r="G10" i="29"/>
  <c r="I10" i="29"/>
  <c r="K10" i="29"/>
  <c r="M10" i="29"/>
  <c r="O9" i="29"/>
  <c r="F34" i="29"/>
  <c r="H34" i="29"/>
  <c r="J34" i="29"/>
  <c r="L34" i="29"/>
  <c r="E34" i="29"/>
  <c r="F40" i="28"/>
  <c r="E40" i="28"/>
  <c r="G40" i="28"/>
  <c r="I9" i="29"/>
  <c r="M9" i="29"/>
  <c r="G9" i="29"/>
  <c r="K9" i="29"/>
  <c r="O8" i="29"/>
  <c r="O10" i="29"/>
  <c r="H40" i="31"/>
  <c r="N7" i="33"/>
  <c r="N13" i="33"/>
  <c r="N23" i="33"/>
  <c r="O23" i="33"/>
  <c r="O30" i="33"/>
  <c r="M30" i="33"/>
  <c r="J23" i="33"/>
  <c r="K23" i="33"/>
  <c r="K30" i="33"/>
  <c r="I30" i="33"/>
  <c r="F23" i="33"/>
  <c r="G23" i="33"/>
  <c r="G30" i="33"/>
  <c r="J40" i="33"/>
  <c r="N13" i="34"/>
  <c r="O13" i="34"/>
  <c r="L23" i="34"/>
  <c r="M23" i="34"/>
  <c r="N7" i="34"/>
  <c r="N23" i="34"/>
  <c r="O23" i="34"/>
  <c r="O30" i="34"/>
  <c r="M30" i="34"/>
  <c r="K30" i="34"/>
  <c r="G30" i="34"/>
  <c r="I40" i="29"/>
  <c r="G40" i="29"/>
  <c r="M40" i="29"/>
  <c r="K40" i="29"/>
  <c r="N34" i="29"/>
  <c r="O40" i="29"/>
  <c r="O10" i="30"/>
  <c r="G12" i="31"/>
  <c r="M12" i="31"/>
  <c r="K12" i="31"/>
  <c r="O12" i="31"/>
  <c r="I12" i="31"/>
  <c r="F34" i="31"/>
  <c r="H34" i="31"/>
  <c r="J34" i="31"/>
  <c r="L34" i="31"/>
  <c r="E34" i="31"/>
  <c r="E40" i="31"/>
  <c r="I40" i="31"/>
  <c r="G40" i="31"/>
  <c r="N34" i="31"/>
  <c r="K40" i="31"/>
  <c r="O40" i="31"/>
  <c r="M40" i="31"/>
  <c r="O7" i="32"/>
  <c r="O13" i="33"/>
  <c r="O7" i="33"/>
  <c r="E40" i="33"/>
  <c r="K40" i="33"/>
  <c r="N20" i="34"/>
  <c r="O20" i="34"/>
  <c r="O7" i="34"/>
  <c r="E33" i="34"/>
  <c r="L10" i="35"/>
  <c r="L23" i="35"/>
  <c r="M10" i="35"/>
  <c r="N10" i="36"/>
  <c r="O10" i="36"/>
  <c r="F23" i="36"/>
  <c r="G23" i="36"/>
  <c r="J23" i="36"/>
  <c r="K23" i="36"/>
  <c r="E9" i="37"/>
  <c r="E10" i="37"/>
  <c r="E23" i="37"/>
  <c r="G10" i="37"/>
  <c r="I10" i="37"/>
  <c r="K10" i="37"/>
  <c r="M10" i="37"/>
  <c r="O9" i="37"/>
  <c r="J23" i="37"/>
  <c r="K23" i="37"/>
  <c r="N7" i="37"/>
  <c r="N10" i="37"/>
  <c r="N13" i="37"/>
  <c r="N23" i="37"/>
  <c r="O23" i="37"/>
  <c r="O30" i="37"/>
  <c r="M23" i="37"/>
  <c r="M30" i="37"/>
  <c r="K30" i="37"/>
  <c r="I23" i="37"/>
  <c r="I30" i="37"/>
  <c r="F23" i="37"/>
  <c r="G23" i="37"/>
  <c r="G30" i="37"/>
  <c r="F34" i="37"/>
  <c r="H34" i="37"/>
  <c r="J34" i="37"/>
  <c r="L34" i="37"/>
  <c r="E34" i="37"/>
  <c r="L10" i="38"/>
  <c r="L23" i="38"/>
  <c r="M10" i="38"/>
  <c r="H20" i="38"/>
  <c r="I20" i="38"/>
  <c r="L20" i="38"/>
  <c r="M20" i="38"/>
  <c r="M23" i="38"/>
  <c r="N7" i="38"/>
  <c r="N10" i="38"/>
  <c r="N23" i="38"/>
  <c r="O23" i="38"/>
  <c r="F34" i="38"/>
  <c r="H34" i="38"/>
  <c r="J34" i="38"/>
  <c r="L34" i="38"/>
  <c r="E34" i="38"/>
  <c r="O7" i="39"/>
  <c r="M7" i="39"/>
  <c r="I7" i="39"/>
  <c r="K7" i="39"/>
  <c r="G7" i="39"/>
  <c r="N10" i="35"/>
  <c r="N13" i="35"/>
  <c r="N23" i="35"/>
  <c r="O10" i="35"/>
  <c r="O13" i="35"/>
  <c r="M23" i="35"/>
  <c r="K23" i="35"/>
  <c r="O23" i="35"/>
  <c r="O30" i="35"/>
  <c r="M30" i="35"/>
  <c r="K30" i="35"/>
  <c r="I30" i="35"/>
  <c r="G30" i="35"/>
  <c r="N7" i="36"/>
  <c r="N23" i="36"/>
  <c r="O7" i="36"/>
  <c r="H23" i="36"/>
  <c r="I23" i="36"/>
  <c r="L23" i="36"/>
  <c r="M23" i="36"/>
  <c r="O23" i="36"/>
  <c r="O30" i="36"/>
  <c r="M30" i="36"/>
  <c r="K30" i="36"/>
  <c r="I30" i="36"/>
  <c r="G30" i="36"/>
  <c r="I9" i="37"/>
  <c r="M9" i="37"/>
  <c r="G9" i="37"/>
  <c r="K9" i="37"/>
  <c r="O8" i="37"/>
  <c r="O10" i="37"/>
  <c r="O13" i="37"/>
  <c r="O7" i="37"/>
  <c r="I40" i="37"/>
  <c r="G40" i="37"/>
  <c r="O40" i="37"/>
  <c r="N34" i="37"/>
  <c r="M40" i="37"/>
  <c r="K40" i="37"/>
  <c r="O10" i="38"/>
  <c r="G12" i="38"/>
  <c r="M12" i="38"/>
  <c r="K12" i="38"/>
  <c r="O12" i="38"/>
  <c r="I12" i="38"/>
  <c r="O11" i="38"/>
  <c r="F20" i="38"/>
  <c r="G20" i="38"/>
  <c r="J20" i="38"/>
  <c r="K20" i="38"/>
  <c r="O7" i="38"/>
  <c r="N20" i="38"/>
  <c r="O30" i="38"/>
  <c r="M30" i="38"/>
  <c r="K23" i="38"/>
  <c r="K30" i="38"/>
  <c r="I23" i="38"/>
  <c r="I30" i="38"/>
  <c r="G23" i="38"/>
  <c r="G30" i="38"/>
  <c r="I40" i="38"/>
  <c r="G40" i="38"/>
  <c r="M40" i="38"/>
  <c r="N34" i="38"/>
  <c r="K40" i="38"/>
  <c r="O40" i="38"/>
  <c r="O20" i="38"/>
  <c r="N10" i="39"/>
  <c r="N23" i="39"/>
  <c r="O23" i="39"/>
  <c r="G6" i="39"/>
  <c r="M6" i="39"/>
  <c r="K6" i="39"/>
  <c r="O6" i="39"/>
  <c r="I6" i="39"/>
  <c r="O10" i="39"/>
  <c r="O30" i="39"/>
  <c r="M23" i="39"/>
  <c r="M30" i="39"/>
  <c r="K23" i="39"/>
  <c r="K30" i="39"/>
  <c r="I23" i="39"/>
  <c r="I30" i="39"/>
  <c r="N7" i="40"/>
  <c r="O7" i="40"/>
  <c r="N13" i="40"/>
  <c r="O13" i="40"/>
  <c r="F23" i="40"/>
  <c r="E9" i="40"/>
  <c r="E10" i="40"/>
  <c r="E23" i="40"/>
  <c r="G23" i="40"/>
  <c r="J23" i="40"/>
  <c r="K23" i="40"/>
  <c r="N34" i="39"/>
  <c r="K40" i="39"/>
  <c r="O40" i="39"/>
  <c r="I40" i="39"/>
  <c r="G40" i="39"/>
  <c r="M40" i="39"/>
  <c r="O9" i="40"/>
  <c r="G9" i="40"/>
  <c r="M9" i="40"/>
  <c r="K9" i="40"/>
  <c r="I9" i="40"/>
  <c r="O10" i="40"/>
  <c r="G10" i="40"/>
  <c r="I10" i="40"/>
  <c r="K10" i="40"/>
  <c r="M10" i="40"/>
  <c r="H23" i="40"/>
  <c r="I23" i="40"/>
  <c r="N23" i="40"/>
  <c r="O23" i="40"/>
  <c r="O30" i="40"/>
  <c r="M23" i="40"/>
  <c r="M30" i="40"/>
  <c r="K30" i="40"/>
  <c r="I30" i="40"/>
  <c r="G30" i="40"/>
  <c r="F34" i="40"/>
  <c r="H34" i="40"/>
  <c r="J34" i="40"/>
  <c r="L34" i="40"/>
  <c r="E34" i="40"/>
  <c r="M40" i="40"/>
  <c r="N34" i="40"/>
  <c r="K40" i="40"/>
  <c r="G40" i="40"/>
  <c r="I40" i="40"/>
  <c r="O40" i="40"/>
  <c r="N13" i="42"/>
  <c r="O13" i="42"/>
  <c r="J23" i="42"/>
  <c r="K23" i="42"/>
  <c r="N10" i="42"/>
  <c r="N23" i="42"/>
  <c r="O23" i="42"/>
  <c r="K30" i="42"/>
  <c r="H23" i="42"/>
  <c r="I23" i="42"/>
  <c r="I30" i="42"/>
  <c r="F23" i="42"/>
  <c r="G23" i="42"/>
  <c r="G30" i="42"/>
  <c r="F40" i="42"/>
  <c r="O10" i="42"/>
  <c r="L23" i="42"/>
  <c r="M23" i="42"/>
  <c r="G40" i="42"/>
  <c r="E40" i="42"/>
  <c r="N10" i="43"/>
  <c r="N23" i="43"/>
  <c r="O10" i="43"/>
  <c r="F23" i="43"/>
  <c r="G23" i="43"/>
  <c r="G30" i="43"/>
  <c r="L23" i="43"/>
  <c r="M23" i="43"/>
  <c r="O23" i="43"/>
  <c r="J23" i="43"/>
  <c r="K23" i="43"/>
  <c r="K30" i="43"/>
  <c r="E33" i="43"/>
  <c r="F40" i="43"/>
  <c r="E40" i="43"/>
  <c r="G40" i="43"/>
</calcChain>
</file>

<file path=xl/sharedStrings.xml><?xml version="1.0" encoding="utf-8"?>
<sst xmlns="http://schemas.openxmlformats.org/spreadsheetml/2006/main" count="1634" uniqueCount="397">
  <si>
    <t xml:space="preserve">District </t>
  </si>
  <si>
    <t>group</t>
  </si>
  <si>
    <t>party</t>
  </si>
  <si>
    <t>name</t>
  </si>
  <si>
    <t xml:space="preserve">total </t>
  </si>
  <si>
    <t>LIB</t>
  </si>
  <si>
    <t>%</t>
  </si>
  <si>
    <t>PQ</t>
  </si>
  <si>
    <t>CAQ</t>
  </si>
  <si>
    <t>QS</t>
  </si>
  <si>
    <t>other</t>
  </si>
  <si>
    <t>Iles-de-la-madeleine</t>
  </si>
  <si>
    <t>x</t>
  </si>
  <si>
    <t>NORTH SHORE</t>
  </si>
  <si>
    <t>Ungava</t>
  </si>
  <si>
    <t>Dubuc</t>
  </si>
  <si>
    <t>UNG-DUBUC</t>
  </si>
  <si>
    <t>Duplessis</t>
  </si>
  <si>
    <t>René-Lévesque</t>
  </si>
  <si>
    <t>DUP-RENÉ</t>
  </si>
  <si>
    <t>Jonquière</t>
  </si>
  <si>
    <t>Chicoutimi</t>
  </si>
  <si>
    <t>JONQ-CHICOUTIMI</t>
  </si>
  <si>
    <t>Roberval</t>
  </si>
  <si>
    <t>Lac-Saint-Jean</t>
  </si>
  <si>
    <t>ROBERVAL-LST-JEAN</t>
  </si>
  <si>
    <t>Abitibi-est</t>
  </si>
  <si>
    <t>Laviolette</t>
  </si>
  <si>
    <t>ABIT-ES--LAVIOLETTE</t>
  </si>
  <si>
    <t>Abitibi-ouest</t>
  </si>
  <si>
    <t>Rou-Nor-Témiscamin</t>
  </si>
  <si>
    <t>ABIT-O-RO-NOR-TÉM</t>
  </si>
  <si>
    <t>Pontiac</t>
  </si>
  <si>
    <t>Gatineau</t>
  </si>
  <si>
    <t>PONT-GATINEAU</t>
  </si>
  <si>
    <t>Hull</t>
  </si>
  <si>
    <t>Chapleau</t>
  </si>
  <si>
    <t>HULL-CHAPLEAU</t>
  </si>
  <si>
    <t>Papineau</t>
  </si>
  <si>
    <t>Argenteuil</t>
  </si>
  <si>
    <t>PAPIN-ARGENT</t>
  </si>
  <si>
    <t>Labelle</t>
  </si>
  <si>
    <t>Bertrand</t>
  </si>
  <si>
    <t>LABEL-BERTRAND</t>
  </si>
  <si>
    <t>Rousseau</t>
  </si>
  <si>
    <t>Saint-Jérôme</t>
  </si>
  <si>
    <t>ROUSSEAU-ST-JÉRÔME</t>
  </si>
  <si>
    <t>Joliette</t>
  </si>
  <si>
    <t>Berthier</t>
  </si>
  <si>
    <t>JOLIETTE-BERTHIER</t>
  </si>
  <si>
    <t>Repentigny</t>
  </si>
  <si>
    <t>L'Assomption</t>
  </si>
  <si>
    <t>REPENTIGNY-ASSOMPTION</t>
  </si>
  <si>
    <t>Maskinongé</t>
  </si>
  <si>
    <t>Saint-Maurice</t>
  </si>
  <si>
    <t>MASKI-ST-MAURIC</t>
  </si>
  <si>
    <t>Champlain</t>
  </si>
  <si>
    <t>Trois-Rivières</t>
  </si>
  <si>
    <t>CHAMPL-TROIS-RIV</t>
  </si>
  <si>
    <t>Blainville</t>
  </si>
  <si>
    <t>Mirabel</t>
  </si>
  <si>
    <t>BLAINVILLE-MIRABEL</t>
  </si>
  <si>
    <t>Masson</t>
  </si>
  <si>
    <t>Terrebonne</t>
  </si>
  <si>
    <t>MASSON-TERREBONNE</t>
  </si>
  <si>
    <t>Groulx</t>
  </si>
  <si>
    <t>Deux-Montagnes</t>
  </si>
  <si>
    <t>GROULX-DEUX-MONTAGNE</t>
  </si>
  <si>
    <t>QUEBEC CITY REGION</t>
  </si>
  <si>
    <t>La Peltrie</t>
  </si>
  <si>
    <t>Chauveau</t>
  </si>
  <si>
    <t>LA PELTRIE-CHAUVE</t>
  </si>
  <si>
    <t>Charlevoix-Beaupré</t>
  </si>
  <si>
    <t>Montmorency</t>
  </si>
  <si>
    <t>CHARLEVOIX-BEAU-MONT</t>
  </si>
  <si>
    <t>Charlebourg</t>
  </si>
  <si>
    <t>Jean-Lesage</t>
  </si>
  <si>
    <t>CHARL-JEAN-LESA</t>
  </si>
  <si>
    <t>Taschereau</t>
  </si>
  <si>
    <t>Vanier-Les Rivières</t>
  </si>
  <si>
    <t>TASCH-VANIER-LE-RIVIÈRE</t>
  </si>
  <si>
    <t>Lévis</t>
  </si>
  <si>
    <t>Jean-Talon</t>
  </si>
  <si>
    <t>LEVIS-JEAN-TALON</t>
  </si>
  <si>
    <t>Portneuf</t>
  </si>
  <si>
    <t>Louis-Hébert</t>
  </si>
  <si>
    <t>PORTNEUF-LOUIS-HÉBERT</t>
  </si>
  <si>
    <t>SOUTH SHORE</t>
  </si>
  <si>
    <t>Gaspé</t>
  </si>
  <si>
    <t>Bonaventure</t>
  </si>
  <si>
    <t>GASP-BONA</t>
  </si>
  <si>
    <t>Matane-Matapédia</t>
  </si>
  <si>
    <t>Rimouski</t>
  </si>
  <si>
    <t>MATANE-RIMOUSKI</t>
  </si>
  <si>
    <t>Côte-du-sud</t>
  </si>
  <si>
    <t>Rivière-du-Loup-Témiscouata</t>
  </si>
  <si>
    <t>COTE-S-RIV-D-LOU-TÉMISCO</t>
  </si>
  <si>
    <t>Bellechasse</t>
  </si>
  <si>
    <t>Beauce-Nord</t>
  </si>
  <si>
    <t>BELLECH-BEAUCE-NORD</t>
  </si>
  <si>
    <t>Chutes-de-la-Chaudière</t>
  </si>
  <si>
    <t>Lotbinière-Frontenac</t>
  </si>
  <si>
    <t>CHUT-CHAUD-LOTB-FRONT</t>
  </si>
  <si>
    <t>Mégantic</t>
  </si>
  <si>
    <t>Beauce-sud</t>
  </si>
  <si>
    <t>MEGAN-BEAUC-SUD</t>
  </si>
  <si>
    <t>Arthabaska</t>
  </si>
  <si>
    <t>Nicolet-Bécancour</t>
  </si>
  <si>
    <t>ARTH-NICOL-BECAN</t>
  </si>
  <si>
    <t>Drummond-Bois-Francs</t>
  </si>
  <si>
    <t>Johnson</t>
  </si>
  <si>
    <t>DRUM-BOI-FRAN-JOHNSON</t>
  </si>
  <si>
    <t>Richelieu</t>
  </si>
  <si>
    <t>Saint-Hyacinthe</t>
  </si>
  <si>
    <t>RICHELIEU-ST-HYACINTHE</t>
  </si>
  <si>
    <t>Saint-François</t>
  </si>
  <si>
    <t>Orford</t>
  </si>
  <si>
    <t>ST-FRANÇOIS-ORFORD</t>
  </si>
  <si>
    <t>Sherbrooke</t>
  </si>
  <si>
    <t>Richmond</t>
  </si>
  <si>
    <t>SHERB-RICHMOND</t>
  </si>
  <si>
    <t>Brome-Missisquoi</t>
  </si>
  <si>
    <t>Granby</t>
  </si>
  <si>
    <t>BROM-MISS-GRANBY</t>
  </si>
  <si>
    <t>Borduas</t>
  </si>
  <si>
    <t>Verchères</t>
  </si>
  <si>
    <t>BORDUAS-VERCHÈRES</t>
  </si>
  <si>
    <t>Montarville</t>
  </si>
  <si>
    <t>Vachon</t>
  </si>
  <si>
    <t>MONTARVILLE-VACHON</t>
  </si>
  <si>
    <t>Taillon</t>
  </si>
  <si>
    <t>Marie-Victorin</t>
  </si>
  <si>
    <t>TAILLON-MARIE-VICTORIN</t>
  </si>
  <si>
    <t>Laporte</t>
  </si>
  <si>
    <t>La Pinière</t>
  </si>
  <si>
    <t>LAPORTE-LA PINIÈRE</t>
  </si>
  <si>
    <t>Chambly</t>
  </si>
  <si>
    <t>Saint-Jean</t>
  </si>
  <si>
    <t>CHAMBLY-SAINT-JEAN</t>
  </si>
  <si>
    <t>La Prairie</t>
  </si>
  <si>
    <t>Sanguinet</t>
  </si>
  <si>
    <t>LA PRAIRIE-SANGUINET</t>
  </si>
  <si>
    <t>Chateauguay</t>
  </si>
  <si>
    <t>Beauharnois</t>
  </si>
  <si>
    <t>CHATEAU-BEAUHARNOIS</t>
  </si>
  <si>
    <t>Huntingdon</t>
  </si>
  <si>
    <t>Iberville</t>
  </si>
  <si>
    <t>HUNTING-IBERVILLE</t>
  </si>
  <si>
    <t>MONTREAL</t>
  </si>
  <si>
    <t>Soulanges</t>
  </si>
  <si>
    <t>Vaudreuil</t>
  </si>
  <si>
    <t>SOULANGES-VAUDREUIL</t>
  </si>
  <si>
    <t>Jacques-Cartier</t>
  </si>
  <si>
    <t>Nelligan</t>
  </si>
  <si>
    <t>JAC-CARTIER-NELLIGAN</t>
  </si>
  <si>
    <t>Robert-Baldwin</t>
  </si>
  <si>
    <t>Marquette</t>
  </si>
  <si>
    <t>ROB-BALDWIN-MARQUET</t>
  </si>
  <si>
    <t>Saint-Laurent</t>
  </si>
  <si>
    <t>Acadie</t>
  </si>
  <si>
    <t>ST-LAURENT-ACADIE</t>
  </si>
  <si>
    <t>Outremont</t>
  </si>
  <si>
    <t>Mont-Royal</t>
  </si>
  <si>
    <t>OUTREMONT-MONT-ROYAL</t>
  </si>
  <si>
    <t>Laurier-Dorion</t>
  </si>
  <si>
    <t>Gouin</t>
  </si>
  <si>
    <t>LAURIER-DORION-GOUIN</t>
  </si>
  <si>
    <t>Mercier</t>
  </si>
  <si>
    <t>Sainte-Marie-Saint-Jacques</t>
  </si>
  <si>
    <t>MERCIER-ST-MAR-ST-JAC</t>
  </si>
  <si>
    <t>Hochelaga-Maisonneuve</t>
  </si>
  <si>
    <t>Rosemont</t>
  </si>
  <si>
    <t>HOCHELA-MAISON-ROSEMO</t>
  </si>
  <si>
    <t>Bourget</t>
  </si>
  <si>
    <t>Pointe-Aux-Trembles</t>
  </si>
  <si>
    <t>BOURG-PTE-AU-TREMBLE</t>
  </si>
  <si>
    <t>Lafontaine</t>
  </si>
  <si>
    <t>Anjou-Louis-Riel</t>
  </si>
  <si>
    <t>LAFON-ANJOU-LOUIS-RIEL</t>
  </si>
  <si>
    <t>Jeanne-Mance-Viger</t>
  </si>
  <si>
    <t>Bourassa-Sauvé</t>
  </si>
  <si>
    <t>JEAN-MANC-VIG-BOUR-SAUV</t>
  </si>
  <si>
    <t>Viau</t>
  </si>
  <si>
    <t>Crémazie</t>
  </si>
  <si>
    <t>VIAU-CRÉMAZIE</t>
  </si>
  <si>
    <t>D'Arcy-McGee</t>
  </si>
  <si>
    <t>Notre-Dame-de-Grace</t>
  </si>
  <si>
    <t>D'ARC-MGE-N-DAM-D-GRAC</t>
  </si>
  <si>
    <t>Marguerite-Bourgeois</t>
  </si>
  <si>
    <t>Verdun</t>
  </si>
  <si>
    <t>MARG-BOUR-VERDUN</t>
  </si>
  <si>
    <t>Saint-Henri-Sainte-Anne</t>
  </si>
  <si>
    <t>Westmount-Saint-Louis</t>
  </si>
  <si>
    <t>S-HENR-ANN-WESTM-S-LOUI</t>
  </si>
  <si>
    <t>LAVAL</t>
  </si>
  <si>
    <t>Sainte-Rose</t>
  </si>
  <si>
    <t>Fabre</t>
  </si>
  <si>
    <t>ST-ROSE-FABRE</t>
  </si>
  <si>
    <t>Mille-iles</t>
  </si>
  <si>
    <t>Vimont</t>
  </si>
  <si>
    <t>MILLE-ILES-VIMONT</t>
  </si>
  <si>
    <t>Laval-des-Rapides</t>
  </si>
  <si>
    <t>Chomedy</t>
  </si>
  <si>
    <t>LAVAL-RAPIDES-CHOMEDY</t>
  </si>
  <si>
    <t>1.Quebec City ( pair no 22-23-24- 25 )</t>
  </si>
  <si>
    <t>VOTES</t>
  </si>
  <si>
    <t>riding no.</t>
  </si>
  <si>
    <t>pair no.</t>
  </si>
  <si>
    <t>winner</t>
  </si>
  <si>
    <t>name of riding</t>
  </si>
  <si>
    <t>Analysis</t>
  </si>
  <si>
    <t>2.North-Eastern Quebec ( pair no 20 and 21 )</t>
  </si>
  <si>
    <t>3.Northern Quebec ( pair no 2-3- 4-5-6)</t>
  </si>
  <si>
    <t>ABIT-EST-LAVIOLETTE</t>
  </si>
  <si>
    <t>4.North-Western Quebec ( pair no 7-8-9 )</t>
  </si>
  <si>
    <t>5.Lower Laurentides ( pair no 10-11-12 )</t>
  </si>
  <si>
    <t>6.LANAUDIÈRE-MAURICIE ( pair no 13-14-15-16 )</t>
  </si>
  <si>
    <t>7.  NORTH-WEST OF MONTREAL ( pair no 17-18-19 )</t>
  </si>
  <si>
    <t>8.GASPESIA- BAS DU FLEUVE( pair no 26-27-28)</t>
  </si>
  <si>
    <t>9. BEAUCE REGION( pair no 29-30-31)</t>
  </si>
  <si>
    <t>10. CENTRAL  QUEBEC ( pair no 32-33-34 )</t>
  </si>
  <si>
    <t>11. EASTERN TOWNSHIPS( pair no 35-36-37 )</t>
  </si>
  <si>
    <t>12. MONTREAL SOUTH SHORE( pair no 38-39-40 )</t>
  </si>
  <si>
    <t>13. SOUTHERN  REGION ( pair no 41-42 )</t>
  </si>
  <si>
    <t>14. SOUTH-WEST  REGION ( pair no 43-44-45 )</t>
  </si>
  <si>
    <t>15. MONTREAL WEST ISLAND ( pair no 46-47-48 )</t>
  </si>
  <si>
    <t>16. CENTRAL MONTREAL ( pair no 49-50 )</t>
  </si>
  <si>
    <t>17. CENTRAL EAST OF MONTREAL ( pair no 51-52-53 )</t>
  </si>
  <si>
    <t>18. MONTREAL EAST ( pair no 54-55-56-57 )</t>
  </si>
  <si>
    <t>19. MONTREAL WEST ( pair no 58-59-60 )</t>
  </si>
  <si>
    <t>20. LAVAL  ( pair no 61-62-63 )</t>
  </si>
  <si>
    <t>seats under present FPTP system</t>
  </si>
  <si>
    <t>total votes and share of total</t>
  </si>
  <si>
    <t>paired riding seats</t>
  </si>
  <si>
    <t>fully represented proportional seats</t>
  </si>
  <si>
    <t xml:space="preserve">riding </t>
  </si>
  <si>
    <t>(12,5% for each of 8 seats)</t>
  </si>
  <si>
    <t xml:space="preserve">% of represented votes </t>
  </si>
  <si>
    <t>partially supported proportional seats</t>
  </si>
  <si>
    <t>total PRP seats in the electoral area</t>
  </si>
  <si>
    <t>FPTP: First passed the post</t>
  </si>
  <si>
    <t xml:space="preserve">seats under new PRP system- </t>
  </si>
  <si>
    <t>(25% for each of 4 seats)</t>
  </si>
  <si>
    <t>PRP: Proportional representative parties</t>
  </si>
  <si>
    <t>(16,67% for each of 6 seats)</t>
  </si>
  <si>
    <t>%total effective votes</t>
  </si>
  <si>
    <t>(16,67 % for each of 6 seats)</t>
  </si>
  <si>
    <t>85,5%</t>
  </si>
  <si>
    <t>40,7%</t>
  </si>
  <si>
    <t>12,5%</t>
  </si>
  <si>
    <t>25%</t>
  </si>
  <si>
    <t>7,3%</t>
  </si>
  <si>
    <t>PRP: Preferential ridings proportional</t>
  </si>
  <si>
    <t>effective voters using the FPTP system</t>
  </si>
  <si>
    <t>0</t>
  </si>
  <si>
    <t>% of remaining unrepresented votes</t>
  </si>
  <si>
    <t>17,58%</t>
  </si>
  <si>
    <t>41,55%</t>
  </si>
  <si>
    <t>84,13%</t>
  </si>
  <si>
    <t>(10% for each of 10 seats)</t>
  </si>
  <si>
    <t>0%</t>
  </si>
  <si>
    <t>27,04%</t>
  </si>
  <si>
    <t>27,21%</t>
  </si>
  <si>
    <t>86,1%</t>
  </si>
  <si>
    <t>33,3%</t>
  </si>
  <si>
    <t>26,6%</t>
  </si>
  <si>
    <t>26,2%</t>
  </si>
  <si>
    <t>89,6%</t>
  </si>
  <si>
    <t>27.1%</t>
  </si>
  <si>
    <t>29,1%</t>
  </si>
  <si>
    <t>42,9%</t>
  </si>
  <si>
    <t>34,5%</t>
  </si>
  <si>
    <t>8,4%</t>
  </si>
  <si>
    <t>5,5%</t>
  </si>
  <si>
    <t>33,2%</t>
  </si>
  <si>
    <t>38,7%</t>
  </si>
  <si>
    <t>Detailed calculations of the effective voters using the FPTP system</t>
  </si>
  <si>
    <t>12,8%</t>
  </si>
  <si>
    <t>27%</t>
  </si>
  <si>
    <t>8,7%</t>
  </si>
  <si>
    <t>7,8%</t>
  </si>
  <si>
    <t>43,5%</t>
  </si>
  <si>
    <t>5,9%</t>
  </si>
  <si>
    <t>11,5%</t>
  </si>
  <si>
    <t>22,8%</t>
  </si>
  <si>
    <t>40,2%</t>
  </si>
  <si>
    <t>72,4%</t>
  </si>
  <si>
    <t>73,2%</t>
  </si>
  <si>
    <t>11,7%</t>
  </si>
  <si>
    <t>20,4%</t>
  </si>
  <si>
    <t>40,5%</t>
  </si>
  <si>
    <t>45,5%</t>
  </si>
  <si>
    <t>10,0%</t>
  </si>
  <si>
    <t>55,5%</t>
  </si>
  <si>
    <t>69%</t>
  </si>
  <si>
    <t>52,9%</t>
  </si>
  <si>
    <t>32,7%</t>
  </si>
  <si>
    <t>3,8%</t>
  </si>
  <si>
    <t>4,9%</t>
  </si>
  <si>
    <t>41,4%</t>
  </si>
  <si>
    <t>27,0%</t>
  </si>
  <si>
    <t>18,3%</t>
  </si>
  <si>
    <t>45,3%</t>
  </si>
  <si>
    <t>11,7</t>
  </si>
  <si>
    <t>29,3</t>
  </si>
  <si>
    <t>35,4%</t>
  </si>
  <si>
    <t>50,3%</t>
  </si>
  <si>
    <t>17,9</t>
  </si>
  <si>
    <t>48,3%</t>
  </si>
  <si>
    <t>13,8%</t>
  </si>
  <si>
    <t>27,1%</t>
  </si>
  <si>
    <t>40,9%</t>
  </si>
  <si>
    <t>Effective voters using the FPTP system</t>
  </si>
  <si>
    <t>Effective voters using the PRP system</t>
  </si>
  <si>
    <t xml:space="preserve">net effective voters </t>
  </si>
  <si>
    <t>23,1%</t>
  </si>
  <si>
    <t>21,8%</t>
  </si>
  <si>
    <t>44,9%</t>
  </si>
  <si>
    <t>51,6%</t>
  </si>
  <si>
    <t>56,5%</t>
  </si>
  <si>
    <t>16,3%</t>
  </si>
  <si>
    <t>39,7%</t>
  </si>
  <si>
    <t>6,1%</t>
  </si>
  <si>
    <t>29,3%</t>
  </si>
  <si>
    <t>20,5%</t>
  </si>
  <si>
    <t>29,8%</t>
  </si>
  <si>
    <t>30,4%</t>
  </si>
  <si>
    <t>17,9%</t>
  </si>
  <si>
    <t>23,6%</t>
  </si>
  <si>
    <t>36,4%</t>
  </si>
  <si>
    <t>69,0%</t>
  </si>
  <si>
    <t>GROUPINGS OF PAIRED RIDINGS as of June 5th 2014</t>
  </si>
  <si>
    <t>( count only winning votes of each party)</t>
  </si>
  <si>
    <t>87,6%</t>
  </si>
  <si>
    <t>GROUPINGS OF PAIRED RIDINGS as of June 10 2014</t>
  </si>
  <si>
    <t>PAIRED RIDINGS</t>
  </si>
  <si>
    <t>electoral area</t>
  </si>
  <si>
    <t>total</t>
  </si>
  <si>
    <t>Quebec city</t>
  </si>
  <si>
    <t>North-Estern Quebec</t>
  </si>
  <si>
    <t xml:space="preserve">PROPORTIONAL </t>
  </si>
  <si>
    <t>Northern Quebec</t>
  </si>
  <si>
    <t>North-Western Quebec</t>
  </si>
  <si>
    <t>Lower Laurentides</t>
  </si>
  <si>
    <t>Lanaudière-Mauricie</t>
  </si>
  <si>
    <t>North-West of Montreal</t>
  </si>
  <si>
    <t>Gaspesia-Bas du fleuve</t>
  </si>
  <si>
    <t>Quebec  election – april 7th 2014 as of June 10th 2014</t>
  </si>
  <si>
    <t>Beauce region</t>
  </si>
  <si>
    <t>Central Quebec</t>
  </si>
  <si>
    <t>Eastern Townships</t>
  </si>
  <si>
    <t>Montreal south shore</t>
  </si>
  <si>
    <t>Southern region</t>
  </si>
  <si>
    <t>South-West region</t>
  </si>
  <si>
    <t>Central Montreal</t>
  </si>
  <si>
    <t>Central East of Montreal</t>
  </si>
  <si>
    <t>Montreal East</t>
  </si>
  <si>
    <t xml:space="preserve">Montreal West </t>
  </si>
  <si>
    <t xml:space="preserve"> West- Island of Montreal</t>
  </si>
  <si>
    <t>Laval</t>
  </si>
  <si>
    <t>Iles-de-la-Madeleine</t>
  </si>
  <si>
    <t>% of popular vote</t>
  </si>
  <si>
    <t xml:space="preserve">FPTP </t>
  </si>
  <si>
    <t>Quebec  election – april 7th 2014 ( data from CBC news )- REVISED June 10th 2014</t>
  </si>
  <si>
    <t>Totals</t>
  </si>
  <si>
    <t>MNA Votes</t>
  </si>
  <si>
    <t>MNAs count</t>
  </si>
  <si>
    <t>Party MNA Ratio</t>
  </si>
  <si>
    <t>Average Votes per MNA</t>
  </si>
  <si>
    <t xml:space="preserve"> of the system should be on Government's agenda?</t>
  </si>
  <si>
    <t xml:space="preserve">Below is shown the possibility of your vote being fairly represented depending on which     </t>
  </si>
  <si>
    <t>Does this look like like inclusive democracy to you?  It is the results of Quebec's 2014 Election</t>
  </si>
  <si>
    <t>using the present First Past the Post electroral system.  Do you think that improvement</t>
  </si>
  <si>
    <t>major party your candidate represented in Quebec's 2014 Election:</t>
  </si>
  <si>
    <t>Did your vote count?</t>
  </si>
  <si>
    <t>Votes</t>
  </si>
  <si>
    <t>All Opposition Parties</t>
  </si>
  <si>
    <t>Nobody</t>
  </si>
  <si>
    <t>Liberals</t>
  </si>
  <si>
    <t>MNA Votes Pct</t>
  </si>
  <si>
    <t>18.6%</t>
  </si>
  <si>
    <t>37.8%</t>
  </si>
  <si>
    <t>34.3%</t>
  </si>
  <si>
    <t>8.4%</t>
  </si>
  <si>
    <t>ANALYIS of Election Results comparing FPTP system with PRP system</t>
  </si>
  <si>
    <t xml:space="preserve"> Votes</t>
  </si>
  <si>
    <t>(total  paired &amp; prop)     % effective</t>
  </si>
  <si>
    <r>
      <t xml:space="preserve">   </t>
    </r>
    <r>
      <rPr>
        <b/>
        <sz val="10"/>
        <rFont val="Arial"/>
        <family val="2"/>
      </rPr>
      <t>% Effective</t>
    </r>
  </si>
  <si>
    <t xml:space="preserve"> Effective</t>
  </si>
  <si>
    <r>
      <t xml:space="preserve"> </t>
    </r>
    <r>
      <rPr>
        <b/>
        <sz val="8"/>
        <rFont val="Arial"/>
        <family val="2"/>
      </rPr>
      <t>Votes</t>
    </r>
  </si>
  <si>
    <t>seats using Current FPTP system</t>
  </si>
  <si>
    <t>seats using New PRP system</t>
  </si>
  <si>
    <t xml:space="preserve">                               HOW VOTES ARE COUNTED PLAYS A BIG PART IN WHO IS ELECTED</t>
  </si>
  <si>
    <t>WHY DOESN'T CANADA HAVE A MORE INCLUSIVE SYSTEM?</t>
  </si>
  <si>
    <t>TOTAL representatives</t>
  </si>
  <si>
    <t>% of representatives</t>
  </si>
  <si>
    <r>
      <t xml:space="preserve">PRP </t>
    </r>
    <r>
      <rPr>
        <b/>
        <sz val="9"/>
        <rFont val="Arial"/>
        <family val="2"/>
      </rPr>
      <t>Preferential Ridings Proportional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</si>
</sst>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</numFmts>
  <fonts count="20" x14ac:knownFonts="1"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6"/>
      <color indexed="10"/>
      <name val="Arial"/>
      <family val="2"/>
    </font>
    <font>
      <sz val="6"/>
      <color indexed="12"/>
      <name val="Arial"/>
      <family val="2"/>
    </font>
    <font>
      <sz val="6"/>
      <color indexed="40"/>
      <name val="Arial"/>
      <family val="2"/>
    </font>
    <font>
      <sz val="6"/>
      <color indexed="53"/>
      <name val="Arial"/>
      <family val="2"/>
    </font>
    <font>
      <b/>
      <sz val="6"/>
      <color indexed="10"/>
      <name val="Arial"/>
      <family val="2"/>
    </font>
    <font>
      <sz val="6"/>
      <color indexed="17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6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/>
    <xf numFmtId="0" fontId="6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49" fontId="2" fillId="0" borderId="0" xfId="0" applyNumberFormat="1" applyFont="1"/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9" fontId="2" fillId="0" borderId="4" xfId="0" applyNumberFormat="1" applyFont="1" applyBorder="1" applyAlignment="1">
      <alignment horizontal="left"/>
    </xf>
    <xf numFmtId="1" fontId="2" fillId="0" borderId="4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left"/>
    </xf>
    <xf numFmtId="10" fontId="2" fillId="0" borderId="4" xfId="0" applyNumberFormat="1" applyFont="1" applyBorder="1" applyAlignment="1">
      <alignment horizontal="left"/>
    </xf>
    <xf numFmtId="10" fontId="2" fillId="0" borderId="0" xfId="0" applyNumberFormat="1" applyFont="1"/>
    <xf numFmtId="164" fontId="2" fillId="0" borderId="0" xfId="0" applyNumberFormat="1" applyFont="1"/>
    <xf numFmtId="0" fontId="2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" fontId="0" fillId="0" borderId="5" xfId="0" applyNumberForma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0" fillId="2" borderId="6" xfId="0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" fontId="14" fillId="2" borderId="0" xfId="0" applyNumberFormat="1" applyFont="1" applyFill="1" applyAlignment="1">
      <alignment horizontal="left"/>
    </xf>
    <xf numFmtId="1" fontId="14" fillId="2" borderId="4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2" fontId="14" fillId="2" borderId="0" xfId="0" applyNumberFormat="1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4" fillId="2" borderId="5" xfId="0" applyFont="1" applyFill="1" applyBorder="1" applyAlignment="1"/>
    <xf numFmtId="0" fontId="14" fillId="2" borderId="0" xfId="0" applyFont="1" applyFill="1" applyAlignment="1"/>
    <xf numFmtId="0" fontId="0" fillId="2" borderId="0" xfId="0" applyFill="1" applyAlignment="1"/>
    <xf numFmtId="0" fontId="2" fillId="2" borderId="0" xfId="0" applyFont="1" applyFill="1" applyBorder="1" applyAlignment="1"/>
    <xf numFmtId="0" fontId="0" fillId="2" borderId="6" xfId="0" applyFill="1" applyBorder="1" applyAlignment="1"/>
    <xf numFmtId="0" fontId="0" fillId="2" borderId="4" xfId="0" applyFill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1" fontId="15" fillId="2" borderId="0" xfId="0" applyNumberFormat="1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43" fontId="1" fillId="0" borderId="0" xfId="1" applyFont="1" applyAlignment="1">
      <alignment horizontal="center"/>
    </xf>
    <xf numFmtId="166" fontId="1" fillId="0" borderId="0" xfId="1" applyNumberFormat="1" applyFont="1" applyAlignment="1">
      <alignment horizontal="center"/>
    </xf>
    <xf numFmtId="43" fontId="17" fillId="0" borderId="0" xfId="1" applyFont="1" applyBorder="1" applyAlignment="1">
      <alignment horizontal="center"/>
    </xf>
    <xf numFmtId="166" fontId="1" fillId="0" borderId="0" xfId="1" applyNumberFormat="1" applyFont="1" applyBorder="1" applyAlignment="1">
      <alignment horizontal="center"/>
    </xf>
    <xf numFmtId="164" fontId="1" fillId="0" borderId="0" xfId="2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3" fontId="0" fillId="0" borderId="0" xfId="0" applyNumberFormat="1"/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9" fillId="2" borderId="0" xfId="0" applyFont="1" applyFill="1" applyBorder="1" applyAlignment="1"/>
    <xf numFmtId="0" fontId="9" fillId="2" borderId="7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309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Did your vote count?</a:t>
            </a:r>
          </a:p>
          <a:p>
            <a:pPr>
              <a:defRPr/>
            </a:pPr>
            <a:r>
              <a:rPr lang="en-CA"/>
              <a:t>Results of the 2014 </a:t>
            </a:r>
          </a:p>
          <a:p>
            <a:pPr>
              <a:defRPr/>
            </a:pPr>
            <a:r>
              <a:rPr lang="en-CA" baseline="0"/>
              <a:t>Quebec Election</a:t>
            </a:r>
            <a:endParaRPr lang="en-CA"/>
          </a:p>
        </c:rich>
      </c:tx>
      <c:layout/>
      <c:overlay val="0"/>
    </c:title>
    <c:autoTitleDeleted val="0"/>
    <c:view3D>
      <c:rotX val="30"/>
      <c:rotY val="96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31639480713446"/>
          <c:y val="9.8860692892036958E-2"/>
          <c:w val="0.73453516722133394"/>
          <c:h val="0.90113930710796297"/>
        </c:manualLayout>
      </c:layout>
      <c:pie3DChart>
        <c:varyColors val="1"/>
        <c:ser>
          <c:idx val="0"/>
          <c:order val="0"/>
          <c:tx>
            <c:strRef>
              <c:f>[1]Graph!$A$26</c:f>
              <c:strCache>
                <c:ptCount val="1"/>
                <c:pt idx="0">
                  <c:v>Did your vote count?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softEdge">
              <a:bevelT w="165100" prst="coolSlant"/>
            </a:sp3d>
          </c:spPr>
          <c:explosion val="25"/>
          <c:dPt>
            <c:idx val="0"/>
            <c:bubble3D val="0"/>
            <c:explosion val="27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softEdge">
                <a:bevelT w="165100" prst="coolSlant"/>
              </a:sp3d>
            </c:spPr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softEdge">
                <a:bevelT w="165100" prst="coolSlant"/>
              </a:sp3d>
            </c:spPr>
          </c:dPt>
          <c:dLbls>
            <c:dLbl>
              <c:idx val="0"/>
              <c:layout>
                <c:manualLayout>
                  <c:x val="-0.17600312267467691"/>
                  <c:y val="-0.136135695778347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6631323776360915"/>
                  <c:y val="-7.1242846652098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0460667645397251E-3"/>
                  <c:y val="0.153762574458997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'Be Heard Graph'!$B$33:$B$35</c:f>
              <c:strCache>
                <c:ptCount val="3"/>
                <c:pt idx="0">
                  <c:v>Liberals</c:v>
                </c:pt>
                <c:pt idx="1">
                  <c:v>All Opposition Parties</c:v>
                </c:pt>
                <c:pt idx="2">
                  <c:v>Nobody</c:v>
                </c:pt>
              </c:strCache>
            </c:strRef>
          </c:cat>
          <c:val>
            <c:numRef>
              <c:f>'Be Heard Graph'!$C$33:$C$35</c:f>
              <c:numCache>
                <c:formatCode>0.00%</c:formatCode>
                <c:ptCount val="3"/>
                <c:pt idx="0">
                  <c:v>0.29865420571399803</c:v>
                </c:pt>
                <c:pt idx="1">
                  <c:v>0.1802033651030954</c:v>
                </c:pt>
                <c:pt idx="2">
                  <c:v>0.52114242918290654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effectLst>
          <a:glow rad="63500">
            <a:schemeClr val="accent1">
              <a:satMod val="175000"/>
              <a:alpha val="40000"/>
            </a:schemeClr>
          </a:glow>
        </a:effectLst>
      </c:spPr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9</xdr:col>
      <xdr:colOff>602395</xdr:colOff>
      <xdr:row>28</xdr:row>
      <xdr:rowOff>1573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0.1554</cdr:x>
      <cdr:y>0.48576</cdr:y>
    </cdr:from>
    <cdr:to>
      <cdr:x>0.42829</cdr:x>
      <cdr:y>0.58149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849987" y="2124495"/>
          <a:ext cx="1492618" cy="4186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Opposition Parties</a:t>
          </a:r>
        </a:p>
      </cdr:txBody>
    </cdr:sp>
  </cdr:relSizeAnchor>
  <cdr:relSizeAnchor xmlns:cdr="http://schemas.openxmlformats.org/drawingml/2006/chartDrawing">
    <cdr:from>
      <cdr:x>0.49161</cdr:x>
      <cdr:y>0.50376</cdr:y>
    </cdr:from>
    <cdr:to>
      <cdr:x>0.76869</cdr:x>
      <cdr:y>0.62069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2688944" y="2203219"/>
          <a:ext cx="1515537" cy="5113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Liberal Government</a:t>
          </a:r>
        </a:p>
      </cdr:txBody>
    </cdr:sp>
  </cdr:relSizeAnchor>
  <cdr:relSizeAnchor xmlns:cdr="http://schemas.openxmlformats.org/drawingml/2006/chartDrawing">
    <cdr:from>
      <cdr:x>0.38892</cdr:x>
      <cdr:y>0.28167</cdr:y>
    </cdr:from>
    <cdr:to>
      <cdr:x>0.66181</cdr:x>
      <cdr:y>0.3774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27250" y="1231900"/>
          <a:ext cx="1492618" cy="4186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Nobody</a:t>
          </a:r>
        </a:p>
      </cdr:txBody>
    </cdr:sp>
  </cdr:relSizeAnchor>
  <cdr:relSizeAnchor xmlns:cdr="http://schemas.openxmlformats.org/drawingml/2006/chartDrawing">
    <cdr:from>
      <cdr:x>0.46844</cdr:x>
      <cdr:y>0.70127</cdr:y>
    </cdr:from>
    <cdr:to>
      <cdr:x>0.72269</cdr:x>
      <cdr:y>0.76443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562225" y="3067050"/>
          <a:ext cx="1390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/>
            <a:t>MAJORITY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d/Documents/Electoral%20Change/Election%20Reform/Federal%20Elections/2011/2011%20Federal%20Election%20Overall%20Results-4%20Be%20Heard%20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of Canada"/>
      <sheetName val="Atlantic Provs"/>
      <sheetName val="Quebec"/>
      <sheetName val="Ontario"/>
      <sheetName val="Man and Sask"/>
      <sheetName val="Alberta"/>
      <sheetName val="British Columbia"/>
      <sheetName val="North"/>
      <sheetName val="MP Summaries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6">
          <cell r="A26" t="str">
            <v>Did your vote count?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2"/>
  <sheetViews>
    <sheetView zoomScale="150" zoomScaleNormal="15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208" sqref="F208"/>
    </sheetView>
  </sheetViews>
  <sheetFormatPr defaultColWidth="11.5703125" defaultRowHeight="9.75" customHeight="1" x14ac:dyDescent="0.15"/>
  <cols>
    <col min="1" max="1" width="4.7109375" style="1" customWidth="1"/>
    <col min="2" max="2" width="4" style="1" customWidth="1"/>
    <col min="3" max="3" width="3.42578125" style="1" customWidth="1"/>
    <col min="4" max="4" width="17" style="1" customWidth="1"/>
    <col min="5" max="5" width="6.85546875" style="1" bestFit="1" customWidth="1"/>
    <col min="6" max="6" width="6.7109375" style="1" bestFit="1" customWidth="1"/>
    <col min="7" max="7" width="4.7109375" style="1" customWidth="1"/>
    <col min="8" max="8" width="7" style="1" bestFit="1" customWidth="1"/>
    <col min="9" max="9" width="4.7109375" style="1" customWidth="1"/>
    <col min="10" max="10" width="7.140625" style="1" bestFit="1" customWidth="1"/>
    <col min="11" max="11" width="4.7109375" style="1" customWidth="1"/>
    <col min="12" max="12" width="6.42578125" style="1" bestFit="1" customWidth="1"/>
    <col min="13" max="13" width="4.7109375" style="1" customWidth="1"/>
    <col min="14" max="14" width="6.42578125" style="1" bestFit="1" customWidth="1"/>
    <col min="15" max="15" width="4.7109375" style="1" customWidth="1"/>
    <col min="16" max="16" width="2.85546875" style="2" customWidth="1"/>
    <col min="17" max="16384" width="11.5703125" style="2"/>
  </cols>
  <sheetData>
    <row r="1" spans="1:20" ht="12.2" customHeight="1" x14ac:dyDescent="0.2">
      <c r="A1" s="3" t="s">
        <v>363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0" ht="11.85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8" t="s">
        <v>7</v>
      </c>
      <c r="I2" s="8" t="s">
        <v>6</v>
      </c>
      <c r="J2" s="9" t="s">
        <v>8</v>
      </c>
      <c r="K2" s="9" t="s">
        <v>6</v>
      </c>
      <c r="L2" s="10" t="s">
        <v>9</v>
      </c>
      <c r="M2" s="10" t="s">
        <v>6</v>
      </c>
      <c r="N2" s="6" t="s">
        <v>10</v>
      </c>
      <c r="O2" s="6" t="s">
        <v>6</v>
      </c>
      <c r="Q2" s="7" t="str">
        <f>+F2</f>
        <v>LIB</v>
      </c>
      <c r="R2" s="8" t="str">
        <f>+H2</f>
        <v>PQ</v>
      </c>
      <c r="S2" s="9" t="str">
        <f>+J2</f>
        <v>CAQ</v>
      </c>
      <c r="T2" s="10" t="str">
        <f>+L2</f>
        <v>QS</v>
      </c>
    </row>
    <row r="3" spans="1:20" ht="11.85" customHeight="1" x14ac:dyDescent="0.15">
      <c r="A3" s="5">
        <v>46</v>
      </c>
      <c r="B3" s="5">
        <v>1</v>
      </c>
      <c r="C3" s="5" t="s">
        <v>5</v>
      </c>
      <c r="D3" s="11" t="s">
        <v>11</v>
      </c>
      <c r="E3" s="12">
        <v>8263</v>
      </c>
      <c r="F3" s="12">
        <v>4137</v>
      </c>
      <c r="G3" s="12">
        <v>50.07</v>
      </c>
      <c r="H3" s="12">
        <v>3319</v>
      </c>
      <c r="I3" s="12">
        <v>40.17</v>
      </c>
      <c r="J3" s="12">
        <v>262</v>
      </c>
      <c r="K3" s="12">
        <v>3.17</v>
      </c>
      <c r="L3" s="12">
        <v>499</v>
      </c>
      <c r="M3" s="12">
        <v>6.04</v>
      </c>
      <c r="N3" s="12">
        <v>46</v>
      </c>
      <c r="O3" s="12">
        <v>0.56000000000000005</v>
      </c>
      <c r="P3" s="13" t="s">
        <v>12</v>
      </c>
      <c r="Q3" s="2">
        <v>1</v>
      </c>
    </row>
    <row r="4" spans="1:20" ht="11.85" customHeight="1" x14ac:dyDescent="0.2">
      <c r="A4" s="5"/>
      <c r="B4" s="5"/>
      <c r="C4" s="5"/>
      <c r="D4" s="14" t="s">
        <v>13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/>
    </row>
    <row r="5" spans="1:20" ht="9.75" customHeight="1" x14ac:dyDescent="0.15">
      <c r="A5" s="1">
        <v>117</v>
      </c>
      <c r="D5" s="15" t="s">
        <v>14</v>
      </c>
      <c r="E5" s="1">
        <v>10354</v>
      </c>
      <c r="F5" s="1">
        <v>4444</v>
      </c>
      <c r="G5" s="1">
        <v>42.92</v>
      </c>
      <c r="H5" s="1">
        <v>3430</v>
      </c>
      <c r="I5" s="1">
        <v>33.130000000000003</v>
      </c>
      <c r="J5" s="1">
        <v>1660</v>
      </c>
      <c r="K5" s="1">
        <v>16.03</v>
      </c>
      <c r="L5" s="1">
        <v>467</v>
      </c>
      <c r="M5" s="1">
        <v>4.51</v>
      </c>
      <c r="N5" s="1">
        <v>353</v>
      </c>
      <c r="O5" s="1">
        <v>3.4</v>
      </c>
      <c r="Q5" s="2">
        <v>1</v>
      </c>
    </row>
    <row r="6" spans="1:20" ht="9.75" customHeight="1" x14ac:dyDescent="0.15">
      <c r="A6" s="1">
        <v>34</v>
      </c>
      <c r="D6" s="15" t="s">
        <v>15</v>
      </c>
      <c r="E6" s="1">
        <v>27755</v>
      </c>
      <c r="F6" s="1">
        <v>11386</v>
      </c>
      <c r="G6" s="1">
        <v>41.02</v>
      </c>
      <c r="H6" s="1">
        <v>8919</v>
      </c>
      <c r="I6" s="1">
        <v>32.130000000000003</v>
      </c>
      <c r="J6" s="1">
        <v>5240</v>
      </c>
      <c r="K6" s="1">
        <v>18.88</v>
      </c>
      <c r="L6" s="1">
        <v>1494</v>
      </c>
      <c r="M6" s="1">
        <v>5.38</v>
      </c>
      <c r="N6" s="1">
        <v>716</v>
      </c>
      <c r="O6" s="1">
        <v>2.58</v>
      </c>
      <c r="Q6" s="2">
        <v>1</v>
      </c>
    </row>
    <row r="7" spans="1:20" ht="9.75" customHeight="1" x14ac:dyDescent="0.2">
      <c r="A7"/>
      <c r="B7" s="1">
        <v>2</v>
      </c>
      <c r="C7" s="5" t="s">
        <v>5</v>
      </c>
      <c r="D7" s="15" t="s">
        <v>16</v>
      </c>
      <c r="E7" s="16">
        <f>E5+E6</f>
        <v>38109</v>
      </c>
      <c r="F7" s="16">
        <f>F5+F6</f>
        <v>15830</v>
      </c>
      <c r="G7" s="16">
        <f>F7*100/$E7</f>
        <v>41.538744128683511</v>
      </c>
      <c r="H7" s="16">
        <f>H5+H6</f>
        <v>12349</v>
      </c>
      <c r="I7" s="16">
        <f>H7*100/$E7</f>
        <v>32.404418903671051</v>
      </c>
      <c r="J7" s="16">
        <f>J5+J6</f>
        <v>6900</v>
      </c>
      <c r="K7" s="16">
        <f>J7*100/$E7</f>
        <v>18.105959222230968</v>
      </c>
      <c r="L7" s="16">
        <f>L5+L6</f>
        <v>1961</v>
      </c>
      <c r="M7" s="16">
        <f>L7*100/$E7</f>
        <v>5.1457660919992652</v>
      </c>
      <c r="N7" s="16">
        <f>N5+N6</f>
        <v>1069</v>
      </c>
      <c r="O7" s="16">
        <f>N7*100/$E7</f>
        <v>2.8051116534152039</v>
      </c>
      <c r="P7"/>
    </row>
    <row r="8" spans="1:20" ht="9.75" customHeight="1" x14ac:dyDescent="0.15">
      <c r="A8" s="1">
        <v>35</v>
      </c>
      <c r="D8" s="17" t="s">
        <v>17</v>
      </c>
      <c r="E8" s="1">
        <v>22282</v>
      </c>
      <c r="F8" s="1">
        <v>8513</v>
      </c>
      <c r="G8" s="1">
        <v>38.21</v>
      </c>
      <c r="H8" s="1">
        <v>8872</v>
      </c>
      <c r="I8" s="1">
        <v>39.82</v>
      </c>
      <c r="J8" s="1">
        <v>2898</v>
      </c>
      <c r="K8" s="1">
        <v>13.01</v>
      </c>
      <c r="L8" s="1">
        <v>1502</v>
      </c>
      <c r="M8" s="1">
        <v>6.74</v>
      </c>
      <c r="N8" s="1">
        <v>497</v>
      </c>
      <c r="O8" s="1">
        <v>2.23</v>
      </c>
      <c r="R8" s="2">
        <v>1</v>
      </c>
    </row>
    <row r="9" spans="1:20" ht="9.75" customHeight="1" x14ac:dyDescent="0.15">
      <c r="A9" s="1">
        <v>90</v>
      </c>
      <c r="D9" s="17" t="s">
        <v>18</v>
      </c>
      <c r="E9" s="1">
        <v>20051</v>
      </c>
      <c r="F9" s="1">
        <v>4366</v>
      </c>
      <c r="G9" s="1">
        <v>21.77</v>
      </c>
      <c r="H9" s="1">
        <v>11029</v>
      </c>
      <c r="I9" s="1">
        <v>55</v>
      </c>
      <c r="J9" s="1">
        <v>3152</v>
      </c>
      <c r="K9" s="1">
        <v>15.72</v>
      </c>
      <c r="L9" s="1">
        <v>1297</v>
      </c>
      <c r="M9" s="1">
        <v>6.47</v>
      </c>
      <c r="N9" s="1">
        <v>207</v>
      </c>
      <c r="O9" s="1">
        <v>1.03</v>
      </c>
      <c r="R9" s="2">
        <v>1</v>
      </c>
    </row>
    <row r="10" spans="1:20" ht="9.75" customHeight="1" x14ac:dyDescent="0.15">
      <c r="B10" s="1">
        <v>3</v>
      </c>
      <c r="C10" s="1" t="s">
        <v>7</v>
      </c>
      <c r="D10" s="17" t="s">
        <v>19</v>
      </c>
      <c r="E10" s="16">
        <f>E8+E9</f>
        <v>42333</v>
      </c>
      <c r="F10" s="16">
        <f>F8+F9</f>
        <v>12879</v>
      </c>
      <c r="G10" s="16">
        <f>F10*100/$E10</f>
        <v>30.423074197434627</v>
      </c>
      <c r="H10" s="16">
        <f>H8+H9</f>
        <v>19901</v>
      </c>
      <c r="I10" s="16">
        <f>H10*100/$E10</f>
        <v>47.010606382727424</v>
      </c>
      <c r="J10" s="16">
        <f>J8+J9</f>
        <v>6050</v>
      </c>
      <c r="K10" s="16">
        <f>J10*100/$E10</f>
        <v>14.291451113788298</v>
      </c>
      <c r="L10" s="16">
        <f>L8+L9</f>
        <v>2799</v>
      </c>
      <c r="M10" s="16">
        <f>L10*100/$E10</f>
        <v>6.6118630855361067</v>
      </c>
      <c r="N10" s="16">
        <f>N8+N9</f>
        <v>704</v>
      </c>
      <c r="O10" s="16">
        <f>N10*100/$E10</f>
        <v>1.6630052205135473</v>
      </c>
    </row>
    <row r="11" spans="1:20" ht="9.75" customHeight="1" x14ac:dyDescent="0.15">
      <c r="A11" s="1">
        <v>53</v>
      </c>
      <c r="D11" s="17" t="s">
        <v>20</v>
      </c>
      <c r="E11" s="1">
        <v>30993</v>
      </c>
      <c r="F11" s="1">
        <v>8254</v>
      </c>
      <c r="G11" s="1">
        <v>26.63</v>
      </c>
      <c r="H11" s="1">
        <v>13487</v>
      </c>
      <c r="I11" s="1">
        <v>43.52</v>
      </c>
      <c r="J11" s="1">
        <v>7318</v>
      </c>
      <c r="K11" s="1">
        <v>23.61</v>
      </c>
      <c r="L11" s="1">
        <v>1608</v>
      </c>
      <c r="M11" s="1">
        <v>5.19</v>
      </c>
      <c r="N11" s="1">
        <v>326</v>
      </c>
      <c r="O11" s="1">
        <v>1.05</v>
      </c>
      <c r="R11" s="2">
        <v>1</v>
      </c>
    </row>
    <row r="12" spans="1:20" ht="9.75" customHeight="1" x14ac:dyDescent="0.15">
      <c r="A12" s="1">
        <v>26</v>
      </c>
      <c r="D12" s="17" t="s">
        <v>21</v>
      </c>
      <c r="E12" s="1">
        <v>32609</v>
      </c>
      <c r="F12" s="1">
        <v>9640</v>
      </c>
      <c r="G12" s="1">
        <v>29.56</v>
      </c>
      <c r="H12" s="1">
        <v>11245</v>
      </c>
      <c r="I12" s="1">
        <v>34.479999999999997</v>
      </c>
      <c r="J12" s="1">
        <v>5691</v>
      </c>
      <c r="K12" s="1">
        <v>17.45</v>
      </c>
      <c r="L12" s="1">
        <v>2105</v>
      </c>
      <c r="M12" s="1">
        <v>6.46</v>
      </c>
      <c r="N12" s="1">
        <v>3928</v>
      </c>
      <c r="O12" s="1">
        <v>12.04</v>
      </c>
      <c r="R12" s="2">
        <v>1</v>
      </c>
    </row>
    <row r="13" spans="1:20" ht="9.75" customHeight="1" x14ac:dyDescent="0.15">
      <c r="B13" s="1">
        <v>4</v>
      </c>
      <c r="C13" s="1" t="s">
        <v>7</v>
      </c>
      <c r="D13" s="17" t="s">
        <v>22</v>
      </c>
      <c r="E13" s="16">
        <f>E11+E12</f>
        <v>63602</v>
      </c>
      <c r="F13" s="16">
        <f>F11+F12</f>
        <v>17894</v>
      </c>
      <c r="G13" s="16">
        <f>F13*100/$E13</f>
        <v>28.134335398257917</v>
      </c>
      <c r="H13" s="16">
        <f>H11+H12</f>
        <v>24732</v>
      </c>
      <c r="I13" s="16">
        <f>H13*100/$E13</f>
        <v>38.885569636174964</v>
      </c>
      <c r="J13" s="16">
        <f>J11+J12</f>
        <v>13009</v>
      </c>
      <c r="K13" s="16">
        <f>J13*100/$E13</f>
        <v>20.453759315744787</v>
      </c>
      <c r="L13" s="16">
        <f>L11+L12</f>
        <v>3713</v>
      </c>
      <c r="M13" s="16">
        <f>L13*100/$E13</f>
        <v>5.837866733750511</v>
      </c>
      <c r="N13" s="16">
        <f>N11+N12</f>
        <v>4254</v>
      </c>
      <c r="O13" s="16">
        <f>N13*100/$E13</f>
        <v>6.6884689160718214</v>
      </c>
    </row>
    <row r="14" spans="1:20" ht="9.75" customHeight="1" x14ac:dyDescent="0.15">
      <c r="A14" s="1">
        <v>97</v>
      </c>
      <c r="D14" s="15" t="s">
        <v>23</v>
      </c>
      <c r="E14" s="1">
        <v>32013</v>
      </c>
      <c r="F14" s="1">
        <v>17636</v>
      </c>
      <c r="G14" s="1">
        <v>55.09</v>
      </c>
      <c r="H14" s="1">
        <v>10694</v>
      </c>
      <c r="I14" s="1">
        <v>33.409999999999997</v>
      </c>
      <c r="J14" s="1">
        <v>2225</v>
      </c>
      <c r="K14" s="1">
        <v>6.95</v>
      </c>
      <c r="L14" s="1">
        <v>1009</v>
      </c>
      <c r="M14" s="1">
        <v>3.15</v>
      </c>
      <c r="N14" s="1">
        <v>449</v>
      </c>
      <c r="O14" s="1">
        <v>1.4</v>
      </c>
      <c r="Q14" s="2">
        <v>1</v>
      </c>
    </row>
    <row r="15" spans="1:20" ht="9.75" customHeight="1" x14ac:dyDescent="0.15">
      <c r="A15" s="1">
        <v>55</v>
      </c>
      <c r="D15" s="17" t="s">
        <v>24</v>
      </c>
      <c r="E15" s="1">
        <v>29549</v>
      </c>
      <c r="F15" s="1">
        <v>8331</v>
      </c>
      <c r="G15" s="1">
        <v>28.19</v>
      </c>
      <c r="H15" s="1">
        <v>13159</v>
      </c>
      <c r="I15" s="1">
        <v>44.53</v>
      </c>
      <c r="J15" s="1">
        <v>5412</v>
      </c>
      <c r="K15" s="1">
        <v>18.32</v>
      </c>
      <c r="L15" s="1">
        <v>1872</v>
      </c>
      <c r="M15" s="1">
        <v>6.34</v>
      </c>
      <c r="N15" s="1">
        <v>775</v>
      </c>
      <c r="O15" s="1">
        <v>2.63</v>
      </c>
      <c r="R15" s="2">
        <v>1</v>
      </c>
    </row>
    <row r="16" spans="1:20" ht="9.75" customHeight="1" x14ac:dyDescent="0.15">
      <c r="B16" s="1">
        <v>5</v>
      </c>
      <c r="C16" s="1" t="s">
        <v>5</v>
      </c>
      <c r="D16" s="15" t="s">
        <v>25</v>
      </c>
      <c r="E16" s="16">
        <f>E14+E15</f>
        <v>61562</v>
      </c>
      <c r="F16" s="16">
        <f>F14+F15</f>
        <v>25967</v>
      </c>
      <c r="G16" s="16">
        <f>F16*100/$E16</f>
        <v>42.180241057795392</v>
      </c>
      <c r="H16" s="16">
        <f>H14+H15</f>
        <v>23853</v>
      </c>
      <c r="I16" s="16">
        <f>H16*100/$E16</f>
        <v>38.746304538514018</v>
      </c>
      <c r="J16" s="16">
        <f>J14+J15</f>
        <v>7637</v>
      </c>
      <c r="K16" s="16">
        <f>J16*100/$E16</f>
        <v>12.40537994217212</v>
      </c>
      <c r="L16" s="16">
        <f>L14+L15</f>
        <v>2881</v>
      </c>
      <c r="M16" s="16">
        <f>L16*100/$E16</f>
        <v>4.6798349631266039</v>
      </c>
      <c r="N16" s="16">
        <f>N14+N15</f>
        <v>1224</v>
      </c>
      <c r="O16" s="16">
        <f>N16*100/$E16</f>
        <v>1.9882394983918652</v>
      </c>
    </row>
    <row r="17" spans="1:18" ht="9.75" customHeight="1" x14ac:dyDescent="0.15">
      <c r="A17" s="1">
        <v>1</v>
      </c>
      <c r="D17" s="15" t="s">
        <v>26</v>
      </c>
      <c r="E17" s="1">
        <v>20626</v>
      </c>
      <c r="F17" s="1">
        <v>8476</v>
      </c>
      <c r="G17" s="1">
        <v>41.09</v>
      </c>
      <c r="H17" s="1">
        <v>6317</v>
      </c>
      <c r="I17" s="1">
        <v>30.63</v>
      </c>
      <c r="J17" s="1">
        <v>3927</v>
      </c>
      <c r="K17" s="1">
        <v>19.04</v>
      </c>
      <c r="L17" s="1">
        <v>1469</v>
      </c>
      <c r="M17" s="1">
        <v>7.12</v>
      </c>
      <c r="N17" s="1">
        <v>437</v>
      </c>
      <c r="O17" s="1">
        <v>2.12</v>
      </c>
      <c r="Q17" s="2">
        <v>1</v>
      </c>
    </row>
    <row r="18" spans="1:18" ht="9.75" customHeight="1" x14ac:dyDescent="0.15">
      <c r="A18" s="1">
        <v>64</v>
      </c>
      <c r="D18" s="15" t="s">
        <v>27</v>
      </c>
      <c r="E18" s="1">
        <v>23625</v>
      </c>
      <c r="F18" s="1">
        <v>12422</v>
      </c>
      <c r="G18" s="1">
        <v>52.58</v>
      </c>
      <c r="H18" s="1">
        <v>5491</v>
      </c>
      <c r="I18" s="1">
        <v>23.24</v>
      </c>
      <c r="J18" s="1">
        <v>4432</v>
      </c>
      <c r="K18" s="1">
        <v>18.760000000000002</v>
      </c>
      <c r="L18" s="1">
        <v>1104</v>
      </c>
      <c r="M18" s="1">
        <v>4.67</v>
      </c>
      <c r="N18" s="1">
        <v>176</v>
      </c>
      <c r="O18" s="1">
        <v>0.74</v>
      </c>
      <c r="Q18" s="2">
        <v>1</v>
      </c>
    </row>
    <row r="19" spans="1:18" ht="9.75" customHeight="1" x14ac:dyDescent="0.15">
      <c r="A19" s="5"/>
      <c r="B19" s="5">
        <v>6</v>
      </c>
      <c r="C19" s="5" t="s">
        <v>5</v>
      </c>
      <c r="D19" s="18" t="s">
        <v>28</v>
      </c>
      <c r="E19" s="12">
        <f>E17+E18</f>
        <v>44251</v>
      </c>
      <c r="F19" s="12">
        <f>F17+F18</f>
        <v>20898</v>
      </c>
      <c r="G19" s="12">
        <f>F19*100/$E19</f>
        <v>47.226051388669184</v>
      </c>
      <c r="H19" s="12">
        <f>H17+H18</f>
        <v>11808</v>
      </c>
      <c r="I19" s="12">
        <f>H19*100/$E19</f>
        <v>26.684142731237714</v>
      </c>
      <c r="J19" s="12">
        <f>J17+J18</f>
        <v>8359</v>
      </c>
      <c r="K19" s="12">
        <f>J19*100/$E19</f>
        <v>18.889968588280492</v>
      </c>
      <c r="L19" s="12">
        <f>L17+L18</f>
        <v>2573</v>
      </c>
      <c r="M19" s="12">
        <f>L19*100/$E19</f>
        <v>5.8145578630991386</v>
      </c>
      <c r="N19" s="12">
        <f>N17+N18</f>
        <v>613</v>
      </c>
      <c r="O19" s="12">
        <f>N19*100/$E19</f>
        <v>1.3852794287134753</v>
      </c>
      <c r="P19" s="13"/>
    </row>
    <row r="20" spans="1:18" ht="9.75" customHeight="1" x14ac:dyDescent="0.15">
      <c r="A20" s="1">
        <v>2</v>
      </c>
      <c r="D20" s="17" t="s">
        <v>29</v>
      </c>
      <c r="E20" s="1">
        <v>21947</v>
      </c>
      <c r="F20" s="1">
        <v>7615</v>
      </c>
      <c r="G20" s="1">
        <v>34.700000000000003</v>
      </c>
      <c r="H20" s="1">
        <v>9267</v>
      </c>
      <c r="I20" s="1">
        <v>42.22</v>
      </c>
      <c r="J20" s="1">
        <v>3084</v>
      </c>
      <c r="K20" s="1">
        <v>14.05</v>
      </c>
      <c r="L20" s="1">
        <v>1354</v>
      </c>
      <c r="M20" s="1">
        <v>6.17</v>
      </c>
      <c r="N20" s="1">
        <v>627</v>
      </c>
      <c r="O20" s="1">
        <v>2.86</v>
      </c>
      <c r="R20" s="2">
        <v>1</v>
      </c>
    </row>
    <row r="21" spans="1:18" ht="9.75" customHeight="1" x14ac:dyDescent="0.15">
      <c r="A21" s="1">
        <v>100</v>
      </c>
      <c r="D21" s="15" t="s">
        <v>30</v>
      </c>
      <c r="E21" s="1">
        <v>28015</v>
      </c>
      <c r="F21" s="1">
        <v>10644</v>
      </c>
      <c r="G21" s="1">
        <v>37.99</v>
      </c>
      <c r="H21" s="1">
        <v>9034</v>
      </c>
      <c r="I21" s="1">
        <v>32.25</v>
      </c>
      <c r="J21" s="1">
        <v>4839</v>
      </c>
      <c r="K21" s="1">
        <v>17.27</v>
      </c>
      <c r="L21" s="1">
        <v>3229</v>
      </c>
      <c r="M21" s="1">
        <v>11.53</v>
      </c>
      <c r="N21" s="1">
        <v>269</v>
      </c>
      <c r="O21" s="1">
        <v>0.96</v>
      </c>
      <c r="Q21" s="2">
        <v>1</v>
      </c>
    </row>
    <row r="22" spans="1:18" ht="9.75" customHeight="1" x14ac:dyDescent="0.15">
      <c r="B22" s="1">
        <v>7</v>
      </c>
      <c r="C22" s="5" t="s">
        <v>7</v>
      </c>
      <c r="D22" s="17" t="s">
        <v>31</v>
      </c>
      <c r="E22" s="16">
        <f>E20+E21</f>
        <v>49962</v>
      </c>
      <c r="F22" s="16">
        <f>F20+F21</f>
        <v>18259</v>
      </c>
      <c r="G22" s="16">
        <f>F22*100/$E22</f>
        <v>36.545774788839516</v>
      </c>
      <c r="H22" s="16">
        <f>H20+H21</f>
        <v>18301</v>
      </c>
      <c r="I22" s="16">
        <f>H22*100/$E22</f>
        <v>36.629838677394822</v>
      </c>
      <c r="J22" s="16">
        <f>J20+J21</f>
        <v>7923</v>
      </c>
      <c r="K22" s="16">
        <f>J22*100/$E22</f>
        <v>15.858052119610905</v>
      </c>
      <c r="L22" s="16">
        <f>L20+L21</f>
        <v>4583</v>
      </c>
      <c r="M22" s="16">
        <f>L22*100/$E22</f>
        <v>9.1729714583083144</v>
      </c>
      <c r="N22" s="16">
        <f>N20+N21</f>
        <v>896</v>
      </c>
      <c r="O22" s="16">
        <f>N22*100/$E22</f>
        <v>1.7933629558464432</v>
      </c>
    </row>
    <row r="23" spans="1:18" ht="9.75" customHeight="1" x14ac:dyDescent="0.15">
      <c r="A23" s="1">
        <v>88</v>
      </c>
      <c r="D23" s="15" t="s">
        <v>32</v>
      </c>
      <c r="E23" s="1">
        <v>33860</v>
      </c>
      <c r="F23" s="1">
        <v>25649</v>
      </c>
      <c r="G23" s="1">
        <v>75.75</v>
      </c>
      <c r="H23" s="1">
        <v>2897</v>
      </c>
      <c r="I23" s="1">
        <v>8.56</v>
      </c>
      <c r="J23" s="1">
        <v>3026</v>
      </c>
      <c r="K23" s="1">
        <v>8.94</v>
      </c>
      <c r="L23" s="1">
        <v>2157</v>
      </c>
      <c r="M23" s="1">
        <v>6.37</v>
      </c>
      <c r="N23" s="1">
        <v>131</v>
      </c>
      <c r="O23" s="1">
        <v>0.39</v>
      </c>
      <c r="Q23" s="2">
        <v>1</v>
      </c>
    </row>
    <row r="24" spans="1:18" ht="9.75" customHeight="1" x14ac:dyDescent="0.15">
      <c r="A24" s="1">
        <v>38</v>
      </c>
      <c r="D24" s="15" t="s">
        <v>33</v>
      </c>
      <c r="E24" s="1">
        <v>34913</v>
      </c>
      <c r="F24" s="1">
        <v>22852</v>
      </c>
      <c r="G24" s="1">
        <v>61.63</v>
      </c>
      <c r="H24" s="1">
        <v>6497</v>
      </c>
      <c r="I24" s="1">
        <v>17.52</v>
      </c>
      <c r="J24" s="1">
        <v>5178</v>
      </c>
      <c r="K24" s="1">
        <v>13.96</v>
      </c>
      <c r="L24" s="1">
        <v>2247</v>
      </c>
      <c r="M24" s="1">
        <v>6.06</v>
      </c>
      <c r="N24" s="1">
        <v>305</v>
      </c>
      <c r="O24" s="1">
        <v>0.82</v>
      </c>
      <c r="Q24" s="2">
        <v>1</v>
      </c>
    </row>
    <row r="25" spans="1:18" ht="9.75" customHeight="1" x14ac:dyDescent="0.15">
      <c r="B25" s="1">
        <v>8</v>
      </c>
      <c r="C25" s="5" t="s">
        <v>5</v>
      </c>
      <c r="D25" s="15" t="s">
        <v>34</v>
      </c>
      <c r="E25" s="16">
        <f>E23+E24</f>
        <v>68773</v>
      </c>
      <c r="F25" s="16">
        <f>F23+F24</f>
        <v>48501</v>
      </c>
      <c r="G25" s="16">
        <f>F25*100/$E25</f>
        <v>70.523315836156627</v>
      </c>
      <c r="H25" s="16">
        <f>H23+H24</f>
        <v>9394</v>
      </c>
      <c r="I25" s="16">
        <f>H25*100/$E25</f>
        <v>13.659430299681562</v>
      </c>
      <c r="J25" s="16">
        <f>J23+J24</f>
        <v>8204</v>
      </c>
      <c r="K25" s="16">
        <f>J25*100/$E25</f>
        <v>11.929100082881364</v>
      </c>
      <c r="L25" s="16">
        <f>L23+L24</f>
        <v>4404</v>
      </c>
      <c r="M25" s="16">
        <f>L25*100/$E25</f>
        <v>6.4036758611664464</v>
      </c>
      <c r="N25" s="16">
        <f>N23+N24</f>
        <v>436</v>
      </c>
      <c r="O25" s="16">
        <f>N25*100/$E25</f>
        <v>0.63396972649150107</v>
      </c>
    </row>
    <row r="26" spans="1:18" ht="9.75" customHeight="1" x14ac:dyDescent="0.15">
      <c r="A26" s="1">
        <v>43</v>
      </c>
      <c r="D26" s="15" t="s">
        <v>35</v>
      </c>
      <c r="E26" s="1">
        <f>F26+H26+J26+L26+N26</f>
        <v>32973</v>
      </c>
      <c r="F26" s="1">
        <v>18163</v>
      </c>
      <c r="G26" s="1">
        <v>55.08</v>
      </c>
      <c r="H26" s="1">
        <v>7209</v>
      </c>
      <c r="I26" s="1">
        <v>21.86</v>
      </c>
      <c r="J26" s="1">
        <v>3619</v>
      </c>
      <c r="K26" s="1">
        <v>10.98</v>
      </c>
      <c r="L26" s="1">
        <v>3647</v>
      </c>
      <c r="M26" s="1">
        <v>11.06</v>
      </c>
      <c r="N26" s="1">
        <v>335</v>
      </c>
      <c r="O26" s="1">
        <v>1.01</v>
      </c>
      <c r="Q26" s="2">
        <v>1</v>
      </c>
    </row>
    <row r="27" spans="1:18" ht="9.75" customHeight="1" x14ac:dyDescent="0.15">
      <c r="A27" s="1">
        <v>21</v>
      </c>
      <c r="D27" s="15" t="s">
        <v>36</v>
      </c>
      <c r="E27" s="1">
        <f>F27+H27+J27+L27+N27</f>
        <v>34049</v>
      </c>
      <c r="F27" s="1">
        <v>19697</v>
      </c>
      <c r="G27" s="1">
        <v>57.85</v>
      </c>
      <c r="H27" s="1">
        <v>6294</v>
      </c>
      <c r="I27" s="1">
        <v>18.489999999999998</v>
      </c>
      <c r="J27" s="1">
        <v>5022</v>
      </c>
      <c r="K27" s="1">
        <v>14.75</v>
      </c>
      <c r="L27" s="1">
        <v>1986</v>
      </c>
      <c r="M27" s="1">
        <v>5.83</v>
      </c>
      <c r="N27" s="1">
        <v>1050</v>
      </c>
      <c r="O27" s="1">
        <v>3.09</v>
      </c>
      <c r="Q27" s="2">
        <v>1</v>
      </c>
    </row>
    <row r="28" spans="1:18" ht="9.75" customHeight="1" x14ac:dyDescent="0.15">
      <c r="A28" s="5"/>
      <c r="B28" s="5">
        <v>9</v>
      </c>
      <c r="C28" s="5" t="s">
        <v>5</v>
      </c>
      <c r="D28" s="18" t="s">
        <v>37</v>
      </c>
      <c r="E28" s="12">
        <f>E26+E27</f>
        <v>67022</v>
      </c>
      <c r="F28" s="12">
        <f>F26+F27</f>
        <v>37860</v>
      </c>
      <c r="G28" s="12">
        <f>F28*100/$E28</f>
        <v>56.488914087911432</v>
      </c>
      <c r="H28" s="12">
        <f>H26+H27</f>
        <v>13503</v>
      </c>
      <c r="I28" s="12">
        <f>H28*100/$E28</f>
        <v>20.147115872400107</v>
      </c>
      <c r="J28" s="12">
        <f>J26+J27</f>
        <v>8641</v>
      </c>
      <c r="K28" s="12">
        <f>J28*100/$E28</f>
        <v>12.892781474739637</v>
      </c>
      <c r="L28" s="12">
        <f>L26+L27</f>
        <v>5633</v>
      </c>
      <c r="M28" s="12">
        <f>L28*100/$E28</f>
        <v>8.4047029333651633</v>
      </c>
      <c r="N28" s="12">
        <f>N26+N27</f>
        <v>1385</v>
      </c>
      <c r="O28" s="12">
        <f>N28*100/$E28</f>
        <v>2.0664856315836593</v>
      </c>
      <c r="P28" s="13"/>
    </row>
    <row r="29" spans="1:18" ht="9.75" customHeight="1" x14ac:dyDescent="0.15">
      <c r="A29" s="1">
        <v>86</v>
      </c>
      <c r="D29" s="15" t="s">
        <v>38</v>
      </c>
      <c r="E29" s="1">
        <f>F29+H29+J29+L29+N29</f>
        <v>35562</v>
      </c>
      <c r="F29" s="1">
        <v>17934</v>
      </c>
      <c r="G29" s="1">
        <v>50.43</v>
      </c>
      <c r="H29" s="1">
        <v>8763</v>
      </c>
      <c r="I29" s="1">
        <v>24.64</v>
      </c>
      <c r="J29" s="1">
        <v>5769</v>
      </c>
      <c r="K29" s="1">
        <v>16.22</v>
      </c>
      <c r="L29" s="1">
        <v>2313</v>
      </c>
      <c r="M29" s="1">
        <v>6.5</v>
      </c>
      <c r="N29" s="1">
        <v>783</v>
      </c>
      <c r="O29" s="1">
        <v>2.2000000000000002</v>
      </c>
      <c r="Q29" s="2">
        <v>1</v>
      </c>
    </row>
    <row r="30" spans="1:18" ht="9.75" customHeight="1" x14ac:dyDescent="0.15">
      <c r="A30" s="1">
        <v>5</v>
      </c>
      <c r="D30" s="15" t="s">
        <v>39</v>
      </c>
      <c r="E30" s="1">
        <f>F30+H30+J30+L30+N30</f>
        <v>30527</v>
      </c>
      <c r="F30" s="1">
        <v>11676</v>
      </c>
      <c r="G30" s="1">
        <v>38.25</v>
      </c>
      <c r="H30" s="1">
        <v>9711</v>
      </c>
      <c r="I30" s="1">
        <v>31.81</v>
      </c>
      <c r="J30" s="1">
        <v>7212</v>
      </c>
      <c r="K30" s="1">
        <v>23.62</v>
      </c>
      <c r="L30" s="1">
        <v>1395</v>
      </c>
      <c r="M30" s="1">
        <v>4.57</v>
      </c>
      <c r="N30" s="1">
        <v>533</v>
      </c>
      <c r="O30" s="1">
        <v>1.75</v>
      </c>
      <c r="Q30" s="2">
        <v>1</v>
      </c>
    </row>
    <row r="31" spans="1:18" ht="9.75" customHeight="1" x14ac:dyDescent="0.15">
      <c r="B31" s="1">
        <v>10</v>
      </c>
      <c r="C31" s="5" t="s">
        <v>5</v>
      </c>
      <c r="D31" s="15" t="s">
        <v>40</v>
      </c>
      <c r="E31" s="16">
        <f>E29+E30</f>
        <v>66089</v>
      </c>
      <c r="F31" s="16">
        <f>F29+F30</f>
        <v>29610</v>
      </c>
      <c r="G31" s="16">
        <f t="shared" ref="G31:G58" si="0">F31*100/$E31</f>
        <v>44.803219900437291</v>
      </c>
      <c r="H31" s="16">
        <f>H29+H30</f>
        <v>18474</v>
      </c>
      <c r="I31" s="16">
        <f t="shared" ref="I31:I58" si="1">H31*100/$E31</f>
        <v>27.95321460454841</v>
      </c>
      <c r="J31" s="16">
        <f>J29+J30</f>
        <v>12981</v>
      </c>
      <c r="K31" s="16">
        <f t="shared" ref="K31:K58" si="2">J31*100/$E31</f>
        <v>19.641695289685121</v>
      </c>
      <c r="L31" s="16">
        <f>L29+L30</f>
        <v>3708</v>
      </c>
      <c r="M31" s="16">
        <f t="shared" ref="M31:M58" si="3">L31*100/$E31</f>
        <v>5.6106159875319648</v>
      </c>
      <c r="N31" s="16">
        <f>N29+N30</f>
        <v>1316</v>
      </c>
      <c r="O31" s="16">
        <f t="shared" ref="O31:O58" si="4">N31*100/$E31</f>
        <v>1.9912542177972128</v>
      </c>
    </row>
    <row r="32" spans="1:18" ht="9.75" customHeight="1" x14ac:dyDescent="0.15">
      <c r="A32" s="1">
        <v>54</v>
      </c>
      <c r="D32" s="17" t="s">
        <v>41</v>
      </c>
      <c r="E32" s="1">
        <f>F32+H32+J32+L32+N32</f>
        <v>30611</v>
      </c>
      <c r="F32" s="1">
        <v>7662</v>
      </c>
      <c r="G32" s="1">
        <f t="shared" si="0"/>
        <v>25.030217895527752</v>
      </c>
      <c r="H32" s="1">
        <v>13828</v>
      </c>
      <c r="I32" s="1">
        <f t="shared" si="1"/>
        <v>45.17330371435105</v>
      </c>
      <c r="J32" s="1">
        <v>6453</v>
      </c>
      <c r="K32" s="1">
        <f t="shared" si="2"/>
        <v>21.080657280062724</v>
      </c>
      <c r="L32" s="1">
        <v>2459</v>
      </c>
      <c r="M32" s="1">
        <f t="shared" si="3"/>
        <v>8.0330600111071178</v>
      </c>
      <c r="N32" s="1">
        <v>209</v>
      </c>
      <c r="O32" s="1">
        <f t="shared" si="4"/>
        <v>0.68276109895135739</v>
      </c>
      <c r="R32" s="2">
        <v>1</v>
      </c>
    </row>
    <row r="33" spans="1:19" ht="9.75" customHeight="1" x14ac:dyDescent="0.15">
      <c r="A33" s="1">
        <v>12</v>
      </c>
      <c r="D33" s="17" t="s">
        <v>42</v>
      </c>
      <c r="E33" s="1">
        <f>F33+H33+J33+L33+N33</f>
        <v>40794</v>
      </c>
      <c r="F33" s="1">
        <v>10892</v>
      </c>
      <c r="G33" s="1">
        <f t="shared" si="0"/>
        <v>26.700004902681766</v>
      </c>
      <c r="H33" s="1">
        <v>15232</v>
      </c>
      <c r="I33" s="1">
        <f t="shared" si="1"/>
        <v>37.338824336912289</v>
      </c>
      <c r="J33" s="1">
        <v>10985</v>
      </c>
      <c r="K33" s="1">
        <f t="shared" si="2"/>
        <v>26.927979604843848</v>
      </c>
      <c r="L33" s="1">
        <v>3070</v>
      </c>
      <c r="M33" s="1">
        <f t="shared" si="3"/>
        <v>7.5256165122321912</v>
      </c>
      <c r="N33" s="1">
        <v>615</v>
      </c>
      <c r="O33" s="1">
        <f t="shared" si="4"/>
        <v>1.5075746433299015</v>
      </c>
      <c r="R33" s="2">
        <v>1</v>
      </c>
    </row>
    <row r="34" spans="1:19" ht="9.75" customHeight="1" x14ac:dyDescent="0.15">
      <c r="B34" s="1">
        <v>11</v>
      </c>
      <c r="C34" s="1" t="s">
        <v>7</v>
      </c>
      <c r="D34" s="17" t="s">
        <v>43</v>
      </c>
      <c r="E34" s="16">
        <f>E32+E33</f>
        <v>71405</v>
      </c>
      <c r="F34" s="16">
        <f>F32+F33</f>
        <v>18554</v>
      </c>
      <c r="G34" s="16">
        <f t="shared" si="0"/>
        <v>25.984174777676632</v>
      </c>
      <c r="H34" s="16">
        <f>H32+H33</f>
        <v>29060</v>
      </c>
      <c r="I34" s="16">
        <f t="shared" si="1"/>
        <v>40.697430151950144</v>
      </c>
      <c r="J34" s="16">
        <f>J32+J33</f>
        <v>17438</v>
      </c>
      <c r="K34" s="16">
        <f t="shared" si="2"/>
        <v>24.421259015475108</v>
      </c>
      <c r="L34" s="16">
        <f>L32+L33</f>
        <v>5529</v>
      </c>
      <c r="M34" s="16">
        <f t="shared" si="3"/>
        <v>7.7431552412296059</v>
      </c>
      <c r="N34" s="16">
        <f>N32+N33</f>
        <v>824</v>
      </c>
      <c r="O34" s="16">
        <f t="shared" si="4"/>
        <v>1.1539808136685106</v>
      </c>
    </row>
    <row r="35" spans="1:19" ht="9.75" customHeight="1" x14ac:dyDescent="0.15">
      <c r="A35" s="1">
        <v>99</v>
      </c>
      <c r="D35" s="17" t="s">
        <v>44</v>
      </c>
      <c r="E35" s="1">
        <f>F35+H35+J35+L35+N35</f>
        <v>39967</v>
      </c>
      <c r="F35" s="1">
        <v>6911</v>
      </c>
      <c r="G35" s="1">
        <f t="shared" si="0"/>
        <v>17.291765706708034</v>
      </c>
      <c r="H35" s="1">
        <v>15480</v>
      </c>
      <c r="I35" s="1">
        <f t="shared" si="1"/>
        <v>38.731953861936098</v>
      </c>
      <c r="J35" s="1">
        <v>14761</v>
      </c>
      <c r="K35" s="1">
        <f t="shared" si="2"/>
        <v>36.932969700002502</v>
      </c>
      <c r="L35" s="1">
        <v>2453</v>
      </c>
      <c r="M35" s="1">
        <f t="shared" si="3"/>
        <v>6.1375634898791507</v>
      </c>
      <c r="N35" s="1">
        <v>362</v>
      </c>
      <c r="O35" s="1">
        <f t="shared" si="4"/>
        <v>0.90574724147421626</v>
      </c>
      <c r="R35" s="2">
        <v>1</v>
      </c>
    </row>
    <row r="36" spans="1:19" ht="9.75" customHeight="1" x14ac:dyDescent="0.15">
      <c r="A36" s="1">
        <v>105</v>
      </c>
      <c r="D36" s="17" t="s">
        <v>45</v>
      </c>
      <c r="E36" s="1">
        <f>F36+H36+J36+L36+N36</f>
        <v>37037</v>
      </c>
      <c r="F36" s="1">
        <v>7399</v>
      </c>
      <c r="G36" s="1">
        <f t="shared" si="0"/>
        <v>19.977319977319976</v>
      </c>
      <c r="H36" s="1">
        <v>13651</v>
      </c>
      <c r="I36" s="1">
        <f t="shared" si="1"/>
        <v>36.85773685773686</v>
      </c>
      <c r="J36" s="1">
        <v>11677</v>
      </c>
      <c r="K36" s="1">
        <f t="shared" si="2"/>
        <v>31.527931527931528</v>
      </c>
      <c r="L36" s="1">
        <v>3989</v>
      </c>
      <c r="M36" s="1">
        <f t="shared" si="3"/>
        <v>10.77031077031077</v>
      </c>
      <c r="N36" s="1">
        <f>199+122</f>
        <v>321</v>
      </c>
      <c r="O36" s="1">
        <f t="shared" si="4"/>
        <v>0.86670086670086666</v>
      </c>
      <c r="R36" s="2">
        <v>1</v>
      </c>
    </row>
    <row r="37" spans="1:19" ht="9.75" customHeight="1" x14ac:dyDescent="0.15">
      <c r="A37" s="5"/>
      <c r="B37" s="5">
        <v>12</v>
      </c>
      <c r="C37" s="5" t="s">
        <v>7</v>
      </c>
      <c r="D37" s="19" t="s">
        <v>46</v>
      </c>
      <c r="E37" s="12">
        <f>E35+E36</f>
        <v>77004</v>
      </c>
      <c r="F37" s="12">
        <f>F35+F36</f>
        <v>14310</v>
      </c>
      <c r="G37" s="12">
        <f t="shared" si="0"/>
        <v>18.583450210378682</v>
      </c>
      <c r="H37" s="12">
        <f>H35+H36</f>
        <v>29131</v>
      </c>
      <c r="I37" s="12">
        <f t="shared" si="1"/>
        <v>37.830502311568232</v>
      </c>
      <c r="J37" s="12">
        <f>J35+J36</f>
        <v>26438</v>
      </c>
      <c r="K37" s="12">
        <f t="shared" si="2"/>
        <v>34.333281387979845</v>
      </c>
      <c r="L37" s="12">
        <f>L35+L36</f>
        <v>6442</v>
      </c>
      <c r="M37" s="12">
        <f t="shared" si="3"/>
        <v>8.3657991792634157</v>
      </c>
      <c r="N37" s="12">
        <f>N35+N36</f>
        <v>683</v>
      </c>
      <c r="O37" s="12">
        <f t="shared" si="4"/>
        <v>0.88696691080982804</v>
      </c>
      <c r="P37" s="13"/>
    </row>
    <row r="38" spans="1:19" ht="9.75" customHeight="1" x14ac:dyDescent="0.15">
      <c r="A38" s="1">
        <v>52</v>
      </c>
      <c r="D38" s="17" t="s">
        <v>47</v>
      </c>
      <c r="E38" s="1">
        <f>F38+H38+J38+L38+N38</f>
        <v>39404</v>
      </c>
      <c r="F38" s="1">
        <v>7671</v>
      </c>
      <c r="G38" s="1">
        <f t="shared" si="0"/>
        <v>19.467566744492945</v>
      </c>
      <c r="H38" s="1">
        <v>17476</v>
      </c>
      <c r="I38" s="1">
        <f t="shared" si="1"/>
        <v>44.350827327174905</v>
      </c>
      <c r="J38" s="1">
        <v>10671</v>
      </c>
      <c r="K38" s="1">
        <f t="shared" si="2"/>
        <v>27.081007004365038</v>
      </c>
      <c r="L38" s="1">
        <v>2856</v>
      </c>
      <c r="M38" s="1">
        <f t="shared" si="3"/>
        <v>7.2479951273982337</v>
      </c>
      <c r="N38" s="1">
        <v>730</v>
      </c>
      <c r="O38" s="1">
        <f t="shared" si="4"/>
        <v>1.8526037965688762</v>
      </c>
      <c r="R38" s="2">
        <v>1</v>
      </c>
    </row>
    <row r="39" spans="1:19" ht="9.75" customHeight="1" x14ac:dyDescent="0.15">
      <c r="A39" s="1">
        <v>11</v>
      </c>
      <c r="D39" s="17" t="s">
        <v>48</v>
      </c>
      <c r="E39" s="1">
        <f>F39+H39+J39+L39+N39</f>
        <v>37999</v>
      </c>
      <c r="F39" s="1">
        <v>7570</v>
      </c>
      <c r="G39" s="1">
        <f t="shared" si="0"/>
        <v>19.921576883602199</v>
      </c>
      <c r="H39" s="1">
        <v>15020</v>
      </c>
      <c r="I39" s="1">
        <f t="shared" si="1"/>
        <v>39.527355983052189</v>
      </c>
      <c r="J39" s="1">
        <v>11807</v>
      </c>
      <c r="K39" s="1">
        <f t="shared" si="2"/>
        <v>31.071870312376642</v>
      </c>
      <c r="L39" s="1">
        <v>2666</v>
      </c>
      <c r="M39" s="1">
        <f t="shared" si="3"/>
        <v>7.0159741045816997</v>
      </c>
      <c r="N39" s="1">
        <v>936</v>
      </c>
      <c r="O39" s="1">
        <f t="shared" si="4"/>
        <v>2.4632227163872735</v>
      </c>
      <c r="R39" s="2">
        <v>1</v>
      </c>
    </row>
    <row r="40" spans="1:19" ht="9.75" customHeight="1" x14ac:dyDescent="0.15">
      <c r="B40" s="1">
        <v>13</v>
      </c>
      <c r="C40" s="1" t="s">
        <v>7</v>
      </c>
      <c r="D40" s="17" t="s">
        <v>49</v>
      </c>
      <c r="E40" s="16">
        <f>E38+E39</f>
        <v>77403</v>
      </c>
      <c r="F40" s="16">
        <f>F38+F39</f>
        <v>15241</v>
      </c>
      <c r="G40" s="16">
        <f t="shared" si="0"/>
        <v>19.690451274498404</v>
      </c>
      <c r="H40" s="16">
        <f>H38+H39</f>
        <v>32496</v>
      </c>
      <c r="I40" s="16">
        <f t="shared" si="1"/>
        <v>41.982868881051125</v>
      </c>
      <c r="J40" s="16">
        <f>J38+J39</f>
        <v>22478</v>
      </c>
      <c r="K40" s="16">
        <f t="shared" si="2"/>
        <v>29.040218079402607</v>
      </c>
      <c r="L40" s="16">
        <f>L38+L39</f>
        <v>5522</v>
      </c>
      <c r="M40" s="16">
        <f t="shared" si="3"/>
        <v>7.1340904099324316</v>
      </c>
      <c r="N40" s="16">
        <f>N38+N39</f>
        <v>1666</v>
      </c>
      <c r="O40" s="16">
        <f t="shared" si="4"/>
        <v>2.1523713551154349</v>
      </c>
    </row>
    <row r="41" spans="1:19" ht="9.75" customHeight="1" x14ac:dyDescent="0.15">
      <c r="A41" s="1">
        <v>91</v>
      </c>
      <c r="D41" s="20" t="s">
        <v>50</v>
      </c>
      <c r="E41" s="1">
        <f>F41+H41+J41+L41+N41</f>
        <v>38505</v>
      </c>
      <c r="F41" s="1">
        <v>8721</v>
      </c>
      <c r="G41" s="1">
        <f t="shared" si="0"/>
        <v>22.649006622516556</v>
      </c>
      <c r="H41" s="1">
        <v>12941</v>
      </c>
      <c r="I41" s="1">
        <f t="shared" si="1"/>
        <v>33.608622256849763</v>
      </c>
      <c r="J41" s="1">
        <v>13889</v>
      </c>
      <c r="K41" s="1">
        <f t="shared" si="2"/>
        <v>36.070640176600442</v>
      </c>
      <c r="L41" s="1">
        <v>2490</v>
      </c>
      <c r="M41" s="1">
        <f t="shared" si="3"/>
        <v>6.466692637319829</v>
      </c>
      <c r="N41" s="1">
        <f>260+204</f>
        <v>464</v>
      </c>
      <c r="O41" s="1">
        <f t="shared" si="4"/>
        <v>1.2050383067134138</v>
      </c>
      <c r="S41" s="2">
        <v>1</v>
      </c>
    </row>
    <row r="42" spans="1:19" ht="9.75" customHeight="1" x14ac:dyDescent="0.15">
      <c r="A42" s="1">
        <v>61</v>
      </c>
      <c r="D42" s="20" t="s">
        <v>51</v>
      </c>
      <c r="E42" s="1">
        <f>F42+H42+J42+L42+N42</f>
        <v>37910</v>
      </c>
      <c r="F42" s="1">
        <v>5057</v>
      </c>
      <c r="G42" s="1">
        <f t="shared" si="0"/>
        <v>13.339488261672383</v>
      </c>
      <c r="H42" s="1">
        <v>11541</v>
      </c>
      <c r="I42" s="1">
        <f t="shared" si="1"/>
        <v>30.443154840411502</v>
      </c>
      <c r="J42" s="1">
        <v>18719</v>
      </c>
      <c r="K42" s="1">
        <f t="shared" si="2"/>
        <v>49.377472962279079</v>
      </c>
      <c r="L42" s="1">
        <v>2198</v>
      </c>
      <c r="M42" s="1">
        <f t="shared" si="3"/>
        <v>5.7979424953838041</v>
      </c>
      <c r="N42" s="1">
        <f>226+169</f>
        <v>395</v>
      </c>
      <c r="O42" s="1">
        <f t="shared" si="4"/>
        <v>1.0419414402532314</v>
      </c>
      <c r="S42" s="2">
        <v>1</v>
      </c>
    </row>
    <row r="43" spans="1:19" ht="9.75" customHeight="1" x14ac:dyDescent="0.15">
      <c r="B43" s="1">
        <v>14</v>
      </c>
      <c r="C43" s="1" t="s">
        <v>8</v>
      </c>
      <c r="D43" s="20" t="s">
        <v>52</v>
      </c>
      <c r="E43" s="16">
        <f>E41+E42</f>
        <v>76415</v>
      </c>
      <c r="F43" s="16">
        <f>F41+F42</f>
        <v>13778</v>
      </c>
      <c r="G43" s="16">
        <f t="shared" si="0"/>
        <v>18.030491395668388</v>
      </c>
      <c r="H43" s="16">
        <f>H41+H42</f>
        <v>24482</v>
      </c>
      <c r="I43" s="16">
        <f t="shared" si="1"/>
        <v>32.038212392854803</v>
      </c>
      <c r="J43" s="16">
        <f>J41+J42</f>
        <v>32608</v>
      </c>
      <c r="K43" s="16">
        <f t="shared" si="2"/>
        <v>42.672250212654582</v>
      </c>
      <c r="L43" s="16">
        <f>L41+L42</f>
        <v>4688</v>
      </c>
      <c r="M43" s="16">
        <f t="shared" si="3"/>
        <v>6.1349211542236475</v>
      </c>
      <c r="N43" s="16">
        <f>N41+N42</f>
        <v>859</v>
      </c>
      <c r="O43" s="16">
        <f t="shared" si="4"/>
        <v>1.1241248445985736</v>
      </c>
    </row>
    <row r="44" spans="1:19" ht="9.75" customHeight="1" x14ac:dyDescent="0.15">
      <c r="A44" s="1">
        <v>71</v>
      </c>
      <c r="D44" s="15" t="s">
        <v>53</v>
      </c>
      <c r="E44" s="1">
        <f>F44+H44+J44+L44+N44</f>
        <v>34869</v>
      </c>
      <c r="F44" s="1">
        <v>13658</v>
      </c>
      <c r="G44" s="1">
        <f t="shared" si="0"/>
        <v>39.169462846654625</v>
      </c>
      <c r="H44" s="1">
        <v>8738</v>
      </c>
      <c r="I44" s="1">
        <f t="shared" si="1"/>
        <v>25.059508445897503</v>
      </c>
      <c r="J44" s="1">
        <v>9946</v>
      </c>
      <c r="K44" s="1">
        <f t="shared" si="2"/>
        <v>28.523903754050878</v>
      </c>
      <c r="L44" s="1">
        <v>2013</v>
      </c>
      <c r="M44" s="1">
        <f t="shared" si="3"/>
        <v>5.7730362212853823</v>
      </c>
      <c r="N44" s="1">
        <v>514</v>
      </c>
      <c r="O44" s="1">
        <f t="shared" si="4"/>
        <v>1.4740887321116178</v>
      </c>
      <c r="Q44" s="2">
        <v>1</v>
      </c>
    </row>
    <row r="45" spans="1:19" ht="9.75" customHeight="1" x14ac:dyDescent="0.15">
      <c r="A45" s="1">
        <v>108</v>
      </c>
      <c r="D45" s="15" t="s">
        <v>54</v>
      </c>
      <c r="E45" s="1">
        <f>F45+H45+J45+L45+N45</f>
        <v>24542</v>
      </c>
      <c r="F45" s="1">
        <v>8244</v>
      </c>
      <c r="G45" s="1">
        <f t="shared" si="0"/>
        <v>33.591394344389208</v>
      </c>
      <c r="H45" s="1">
        <v>7592</v>
      </c>
      <c r="I45" s="1">
        <f t="shared" si="1"/>
        <v>30.93472414636134</v>
      </c>
      <c r="J45" s="1">
        <v>6982</v>
      </c>
      <c r="K45" s="1">
        <f t="shared" si="2"/>
        <v>28.449189145138945</v>
      </c>
      <c r="L45" s="1">
        <v>1304</v>
      </c>
      <c r="M45" s="1">
        <f t="shared" si="3"/>
        <v>5.3133403960557413</v>
      </c>
      <c r="N45" s="1">
        <v>420</v>
      </c>
      <c r="O45" s="1">
        <f t="shared" si="4"/>
        <v>1.7113519680547633</v>
      </c>
      <c r="Q45" s="2">
        <v>1</v>
      </c>
    </row>
    <row r="46" spans="1:19" ht="9.75" customHeight="1" x14ac:dyDescent="0.15">
      <c r="B46" s="1">
        <v>15</v>
      </c>
      <c r="C46" s="5" t="s">
        <v>5</v>
      </c>
      <c r="D46" s="15" t="s">
        <v>55</v>
      </c>
      <c r="E46" s="16">
        <f>E44+E45</f>
        <v>59411</v>
      </c>
      <c r="F46" s="16">
        <f>F44+F45</f>
        <v>21902</v>
      </c>
      <c r="G46" s="16">
        <f t="shared" si="0"/>
        <v>36.865226978169026</v>
      </c>
      <c r="H46" s="16">
        <f>H44+H45</f>
        <v>16330</v>
      </c>
      <c r="I46" s="16">
        <f t="shared" si="1"/>
        <v>27.486492400397232</v>
      </c>
      <c r="J46" s="16">
        <f>J44+J45</f>
        <v>16928</v>
      </c>
      <c r="K46" s="16">
        <f t="shared" si="2"/>
        <v>28.493040009425865</v>
      </c>
      <c r="L46" s="16">
        <f>L44+L45</f>
        <v>3317</v>
      </c>
      <c r="M46" s="16">
        <f t="shared" si="3"/>
        <v>5.5831411691437616</v>
      </c>
      <c r="N46" s="16">
        <f>N44+N45</f>
        <v>934</v>
      </c>
      <c r="O46" s="16">
        <f t="shared" si="4"/>
        <v>1.5720994428641162</v>
      </c>
    </row>
    <row r="47" spans="1:19" ht="9.75" customHeight="1" x14ac:dyDescent="0.15">
      <c r="A47" s="1">
        <v>20</v>
      </c>
      <c r="D47" s="15" t="s">
        <v>56</v>
      </c>
      <c r="E47" s="1">
        <f>F47+H47+J47+L47+N47</f>
        <v>34725</v>
      </c>
      <c r="F47" s="1">
        <v>11605</v>
      </c>
      <c r="G47" s="1">
        <f t="shared" si="0"/>
        <v>33.419726421886246</v>
      </c>
      <c r="H47" s="1">
        <v>10481</v>
      </c>
      <c r="I47" s="1">
        <f t="shared" si="1"/>
        <v>30.182865370770337</v>
      </c>
      <c r="J47" s="1">
        <v>10569</v>
      </c>
      <c r="K47" s="1">
        <f t="shared" si="2"/>
        <v>30.436285097192226</v>
      </c>
      <c r="L47" s="1">
        <v>1848</v>
      </c>
      <c r="M47" s="1">
        <f t="shared" si="3"/>
        <v>5.3218142548596115</v>
      </c>
      <c r="N47" s="1">
        <v>222</v>
      </c>
      <c r="O47" s="1">
        <f t="shared" si="4"/>
        <v>0.63930885529157666</v>
      </c>
      <c r="Q47" s="2">
        <v>1</v>
      </c>
    </row>
    <row r="48" spans="1:19" ht="9.75" customHeight="1" x14ac:dyDescent="0.15">
      <c r="A48" s="1">
        <v>116</v>
      </c>
      <c r="D48" s="15" t="s">
        <v>57</v>
      </c>
      <c r="E48" s="1">
        <f>F48+H48+J48+L48+N48</f>
        <v>29773</v>
      </c>
      <c r="F48" s="1">
        <v>11658</v>
      </c>
      <c r="G48" s="1">
        <f t="shared" si="0"/>
        <v>39.156282537869885</v>
      </c>
      <c r="H48" s="1">
        <v>8452</v>
      </c>
      <c r="I48" s="1">
        <f t="shared" si="1"/>
        <v>28.388136902562724</v>
      </c>
      <c r="J48" s="1">
        <v>6634</v>
      </c>
      <c r="K48" s="1">
        <f t="shared" si="2"/>
        <v>22.281933295267525</v>
      </c>
      <c r="L48" s="1">
        <v>2531</v>
      </c>
      <c r="M48" s="1">
        <f t="shared" si="3"/>
        <v>8.5009908306183455</v>
      </c>
      <c r="N48" s="1">
        <v>498</v>
      </c>
      <c r="O48" s="1">
        <f t="shared" si="4"/>
        <v>1.6726564336815235</v>
      </c>
      <c r="Q48" s="2">
        <v>1</v>
      </c>
    </row>
    <row r="49" spans="1:19" ht="9.75" customHeight="1" x14ac:dyDescent="0.15">
      <c r="A49" s="5"/>
      <c r="B49" s="5">
        <v>16</v>
      </c>
      <c r="C49" s="5" t="s">
        <v>5</v>
      </c>
      <c r="D49" s="18" t="s">
        <v>58</v>
      </c>
      <c r="E49" s="12">
        <f>E47+E48</f>
        <v>64498</v>
      </c>
      <c r="F49" s="12">
        <f>F47+F48</f>
        <v>23263</v>
      </c>
      <c r="G49" s="12">
        <f t="shared" si="0"/>
        <v>36.067785047598377</v>
      </c>
      <c r="H49" s="12">
        <f>H47+H48</f>
        <v>18933</v>
      </c>
      <c r="I49" s="12">
        <f t="shared" si="1"/>
        <v>29.354398586002667</v>
      </c>
      <c r="J49" s="12">
        <f>J47+J48</f>
        <v>17203</v>
      </c>
      <c r="K49" s="12">
        <f t="shared" si="2"/>
        <v>26.672144872709232</v>
      </c>
      <c r="L49" s="12">
        <f>L47+L48</f>
        <v>4379</v>
      </c>
      <c r="M49" s="12">
        <f t="shared" si="3"/>
        <v>6.789357809544482</v>
      </c>
      <c r="N49" s="12">
        <f>N47+N48</f>
        <v>720</v>
      </c>
      <c r="O49" s="12">
        <f t="shared" si="4"/>
        <v>1.1163136841452448</v>
      </c>
      <c r="P49" s="13"/>
    </row>
    <row r="50" spans="1:19" ht="9.75" customHeight="1" x14ac:dyDescent="0.15">
      <c r="A50" s="1">
        <v>13</v>
      </c>
      <c r="D50" s="20" t="s">
        <v>59</v>
      </c>
      <c r="E50" s="1">
        <f>F50+H50+J50+L50+N50</f>
        <v>44449</v>
      </c>
      <c r="F50" s="1">
        <v>13118</v>
      </c>
      <c r="G50" s="1">
        <f t="shared" si="0"/>
        <v>29.512474971315442</v>
      </c>
      <c r="H50" s="1">
        <v>13046</v>
      </c>
      <c r="I50" s="1">
        <f t="shared" si="1"/>
        <v>29.350491574613603</v>
      </c>
      <c r="J50" s="1">
        <v>15075</v>
      </c>
      <c r="K50" s="1">
        <f t="shared" si="2"/>
        <v>33.915273684447342</v>
      </c>
      <c r="L50" s="1">
        <v>2898</v>
      </c>
      <c r="M50" s="1">
        <f t="shared" si="3"/>
        <v>6.5198317172489819</v>
      </c>
      <c r="N50" s="1">
        <v>312</v>
      </c>
      <c r="O50" s="1">
        <f t="shared" si="4"/>
        <v>0.70192805237463163</v>
      </c>
      <c r="S50" s="2">
        <v>1</v>
      </c>
    </row>
    <row r="51" spans="1:19" ht="9.75" customHeight="1" x14ac:dyDescent="0.15">
      <c r="A51" s="1">
        <v>77</v>
      </c>
      <c r="D51" s="20" t="s">
        <v>60</v>
      </c>
      <c r="E51" s="1">
        <f>F51+H51+J51+L51+N51</f>
        <v>41689</v>
      </c>
      <c r="F51" s="1">
        <v>8068</v>
      </c>
      <c r="G51" s="1">
        <f t="shared" si="0"/>
        <v>19.352826884789753</v>
      </c>
      <c r="H51" s="1">
        <v>14290</v>
      </c>
      <c r="I51" s="1">
        <f t="shared" si="1"/>
        <v>34.277627191825182</v>
      </c>
      <c r="J51" s="1">
        <v>16359</v>
      </c>
      <c r="K51" s="1">
        <f t="shared" si="2"/>
        <v>39.240567056057955</v>
      </c>
      <c r="L51" s="1">
        <v>2543</v>
      </c>
      <c r="M51" s="1">
        <f t="shared" si="3"/>
        <v>6.0999304372856153</v>
      </c>
      <c r="N51" s="1">
        <v>429</v>
      </c>
      <c r="O51" s="1">
        <f t="shared" si="4"/>
        <v>1.0290484300414977</v>
      </c>
      <c r="S51" s="2">
        <v>1</v>
      </c>
    </row>
    <row r="52" spans="1:19" ht="9.75" customHeight="1" x14ac:dyDescent="0.15">
      <c r="B52" s="1">
        <v>17</v>
      </c>
      <c r="C52" s="1" t="s">
        <v>8</v>
      </c>
      <c r="D52" s="20" t="s">
        <v>61</v>
      </c>
      <c r="E52" s="16">
        <f>E50+E51</f>
        <v>86138</v>
      </c>
      <c r="F52" s="16">
        <f>F50+F51</f>
        <v>21186</v>
      </c>
      <c r="G52" s="16">
        <f t="shared" si="0"/>
        <v>24.595416656992267</v>
      </c>
      <c r="H52" s="16">
        <f>H50+H51</f>
        <v>27336</v>
      </c>
      <c r="I52" s="16">
        <f t="shared" si="1"/>
        <v>31.735122710069888</v>
      </c>
      <c r="J52" s="16">
        <f>J50+J51</f>
        <v>31434</v>
      </c>
      <c r="K52" s="16">
        <f t="shared" si="2"/>
        <v>36.492604889827952</v>
      </c>
      <c r="L52" s="16">
        <f>L50+L51</f>
        <v>5441</v>
      </c>
      <c r="M52" s="16">
        <f t="shared" si="3"/>
        <v>6.3166082333000535</v>
      </c>
      <c r="N52" s="16">
        <f>N50+N51</f>
        <v>741</v>
      </c>
      <c r="O52" s="16">
        <f t="shared" si="4"/>
        <v>0.86024750980983999</v>
      </c>
    </row>
    <row r="53" spans="1:19" ht="9.75" customHeight="1" x14ac:dyDescent="0.15">
      <c r="A53" s="1">
        <v>72</v>
      </c>
      <c r="D53" s="20" t="s">
        <v>62</v>
      </c>
      <c r="E53" s="1">
        <f>F53+H53+J53+L53+N53</f>
        <v>34511</v>
      </c>
      <c r="F53" s="1">
        <v>5869</v>
      </c>
      <c r="G53" s="1">
        <f t="shared" si="0"/>
        <v>17.006171945176899</v>
      </c>
      <c r="H53" s="1">
        <v>12701</v>
      </c>
      <c r="I53" s="1">
        <f t="shared" si="1"/>
        <v>36.802758540755121</v>
      </c>
      <c r="J53" s="1">
        <v>13235</v>
      </c>
      <c r="K53" s="1">
        <f t="shared" si="2"/>
        <v>38.350091275245575</v>
      </c>
      <c r="L53" s="1">
        <v>2168</v>
      </c>
      <c r="M53" s="1">
        <f t="shared" si="3"/>
        <v>6.2820549969574921</v>
      </c>
      <c r="N53" s="1">
        <f>289+249</f>
        <v>538</v>
      </c>
      <c r="O53" s="1">
        <f t="shared" si="4"/>
        <v>1.5589232418649126</v>
      </c>
      <c r="S53" s="2">
        <v>1</v>
      </c>
    </row>
    <row r="54" spans="1:19" ht="9.75" customHeight="1" x14ac:dyDescent="0.15">
      <c r="A54" s="1">
        <v>115</v>
      </c>
      <c r="D54" s="17" t="s">
        <v>63</v>
      </c>
      <c r="E54" s="1">
        <f>F54+H54+J54+L54+N54</f>
        <v>39881</v>
      </c>
      <c r="F54" s="1">
        <v>8770</v>
      </c>
      <c r="G54" s="1">
        <f t="shared" si="0"/>
        <v>21.990421503974325</v>
      </c>
      <c r="H54" s="1">
        <v>14450</v>
      </c>
      <c r="I54" s="1">
        <f t="shared" si="1"/>
        <v>36.232792557859632</v>
      </c>
      <c r="J54" s="1">
        <v>13707</v>
      </c>
      <c r="K54" s="1">
        <f t="shared" si="2"/>
        <v>34.369750006268646</v>
      </c>
      <c r="L54" s="1">
        <v>2543</v>
      </c>
      <c r="M54" s="1">
        <f t="shared" si="3"/>
        <v>6.3764699982447786</v>
      </c>
      <c r="N54" s="1">
        <v>411</v>
      </c>
      <c r="O54" s="1">
        <f t="shared" si="4"/>
        <v>1.0305659336526165</v>
      </c>
      <c r="R54" s="2">
        <v>1</v>
      </c>
    </row>
    <row r="55" spans="1:19" ht="9.75" customHeight="1" x14ac:dyDescent="0.2">
      <c r="A55"/>
      <c r="B55" s="1">
        <v>18</v>
      </c>
      <c r="C55" s="1" t="s">
        <v>7</v>
      </c>
      <c r="D55" s="17" t="s">
        <v>64</v>
      </c>
      <c r="E55" s="16">
        <f>E53+E54</f>
        <v>74392</v>
      </c>
      <c r="F55" s="16">
        <f>F53+F54</f>
        <v>14639</v>
      </c>
      <c r="G55" s="16">
        <f t="shared" si="0"/>
        <v>19.678191203355201</v>
      </c>
      <c r="H55" s="16">
        <f>H53+H54</f>
        <v>27151</v>
      </c>
      <c r="I55" s="16">
        <f t="shared" si="1"/>
        <v>36.497204000430152</v>
      </c>
      <c r="J55" s="16">
        <f>J53+J54</f>
        <v>26942</v>
      </c>
      <c r="K55" s="16">
        <f t="shared" si="2"/>
        <v>36.216259812883109</v>
      </c>
      <c r="L55" s="16">
        <f>L53+L54</f>
        <v>4711</v>
      </c>
      <c r="M55" s="16">
        <f t="shared" si="3"/>
        <v>6.3326701795892033</v>
      </c>
      <c r="N55" s="16">
        <f>N53+N54</f>
        <v>949</v>
      </c>
      <c r="O55" s="16">
        <f t="shared" si="4"/>
        <v>1.275674803742338</v>
      </c>
    </row>
    <row r="56" spans="1:19" ht="9.75" customHeight="1" x14ac:dyDescent="0.15">
      <c r="A56" s="1">
        <v>41</v>
      </c>
      <c r="D56" s="20" t="s">
        <v>65</v>
      </c>
      <c r="E56" s="1">
        <f>F56+H56+J56+L56+N56</f>
        <v>41387</v>
      </c>
      <c r="F56" s="1">
        <v>12513</v>
      </c>
      <c r="G56" s="1">
        <f t="shared" si="0"/>
        <v>30.234131490564671</v>
      </c>
      <c r="H56" s="1">
        <v>12413</v>
      </c>
      <c r="I56" s="1">
        <f t="shared" si="1"/>
        <v>29.992509725276054</v>
      </c>
      <c r="J56" s="1">
        <v>12773</v>
      </c>
      <c r="K56" s="1">
        <f t="shared" si="2"/>
        <v>30.862348080315076</v>
      </c>
      <c r="L56" s="1">
        <v>2809</v>
      </c>
      <c r="M56" s="1">
        <f t="shared" si="3"/>
        <v>6.7871553869572567</v>
      </c>
      <c r="N56" s="1">
        <f>493+386</f>
        <v>879</v>
      </c>
      <c r="O56" s="1">
        <f t="shared" si="4"/>
        <v>2.123855316886945</v>
      </c>
      <c r="S56" s="2">
        <v>1</v>
      </c>
    </row>
    <row r="57" spans="1:19" ht="9.75" customHeight="1" x14ac:dyDescent="0.15">
      <c r="A57" s="1">
        <v>32</v>
      </c>
      <c r="D57" s="20" t="s">
        <v>66</v>
      </c>
      <c r="E57" s="1">
        <f>F57+H57+J57+L57+N57</f>
        <v>34714</v>
      </c>
      <c r="F57" s="1">
        <v>8913</v>
      </c>
      <c r="G57" s="1">
        <f t="shared" si="0"/>
        <v>25.675519963127268</v>
      </c>
      <c r="H57" s="1">
        <v>11107</v>
      </c>
      <c r="I57" s="1">
        <f t="shared" si="1"/>
        <v>31.995736590424613</v>
      </c>
      <c r="J57" s="1">
        <v>11838</v>
      </c>
      <c r="K57" s="1">
        <f t="shared" si="2"/>
        <v>34.101515238808553</v>
      </c>
      <c r="L57" s="1">
        <v>2326</v>
      </c>
      <c r="M57" s="1">
        <f t="shared" si="3"/>
        <v>6.7004666705075762</v>
      </c>
      <c r="N57" s="1">
        <f>297+233</f>
        <v>530</v>
      </c>
      <c r="O57" s="1">
        <f t="shared" si="4"/>
        <v>1.5267615371319929</v>
      </c>
      <c r="S57" s="2">
        <v>1</v>
      </c>
    </row>
    <row r="58" spans="1:19" ht="9.75" customHeight="1" x14ac:dyDescent="0.15">
      <c r="B58" s="1">
        <v>19</v>
      </c>
      <c r="C58" s="1" t="s">
        <v>8</v>
      </c>
      <c r="D58" s="20" t="s">
        <v>67</v>
      </c>
      <c r="E58" s="16">
        <f>E56+E57</f>
        <v>76101</v>
      </c>
      <c r="F58" s="16">
        <f>F56+F57</f>
        <v>21426</v>
      </c>
      <c r="G58" s="16">
        <f t="shared" si="0"/>
        <v>28.154689163085898</v>
      </c>
      <c r="H58" s="16">
        <f>H56+H57</f>
        <v>23520</v>
      </c>
      <c r="I58" s="16">
        <f t="shared" si="1"/>
        <v>30.906295580872786</v>
      </c>
      <c r="J58" s="16">
        <f>J56+J57</f>
        <v>24611</v>
      </c>
      <c r="K58" s="16">
        <f t="shared" si="2"/>
        <v>32.339916689662424</v>
      </c>
      <c r="L58" s="16">
        <f>L56+L57</f>
        <v>5135</v>
      </c>
      <c r="M58" s="16">
        <f t="shared" si="3"/>
        <v>6.7476117265213338</v>
      </c>
      <c r="N58" s="16">
        <f>N56+N57</f>
        <v>1409</v>
      </c>
      <c r="O58" s="16">
        <f t="shared" si="4"/>
        <v>1.8514868398575577</v>
      </c>
    </row>
    <row r="59" spans="1:19" ht="9.75" customHeight="1" x14ac:dyDescent="0.2">
      <c r="A59"/>
      <c r="D59"/>
      <c r="E59"/>
      <c r="F59"/>
      <c r="G59"/>
      <c r="H59"/>
      <c r="I59"/>
      <c r="J59"/>
      <c r="K59"/>
      <c r="L59"/>
      <c r="M59"/>
      <c r="N59"/>
      <c r="O59"/>
    </row>
    <row r="60" spans="1:19" ht="9.75" customHeight="1" x14ac:dyDescent="0.2">
      <c r="A60" s="3" t="s">
        <v>363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9" ht="9.75" customHeight="1" x14ac:dyDescent="0.2">
      <c r="A61" s="22" t="s">
        <v>0</v>
      </c>
      <c r="B61" s="22" t="s">
        <v>1</v>
      </c>
      <c r="C61" s="22"/>
      <c r="D61" s="22" t="s">
        <v>3</v>
      </c>
      <c r="E61" s="22" t="s">
        <v>4</v>
      </c>
      <c r="F61" s="23" t="s">
        <v>5</v>
      </c>
      <c r="G61" s="23" t="s">
        <v>6</v>
      </c>
      <c r="H61" s="24" t="s">
        <v>7</v>
      </c>
      <c r="I61" s="24" t="s">
        <v>6</v>
      </c>
      <c r="J61" s="25" t="s">
        <v>8</v>
      </c>
      <c r="K61" s="25" t="s">
        <v>6</v>
      </c>
      <c r="L61" s="26" t="s">
        <v>9</v>
      </c>
      <c r="M61" s="26" t="s">
        <v>6</v>
      </c>
      <c r="N61" s="22" t="s">
        <v>10</v>
      </c>
      <c r="O61" s="22" t="s">
        <v>6</v>
      </c>
      <c r="P61"/>
    </row>
    <row r="62" spans="1:19" ht="11.45" customHeight="1" x14ac:dyDescent="0.2">
      <c r="A62" s="22"/>
      <c r="B62" s="22"/>
      <c r="C62" s="22"/>
      <c r="D62" s="27" t="s">
        <v>68</v>
      </c>
      <c r="E62" s="22"/>
      <c r="F62" s="23"/>
      <c r="G62" s="23"/>
      <c r="H62" s="24"/>
      <c r="I62" s="24"/>
      <c r="J62" s="25"/>
      <c r="K62" s="25"/>
      <c r="L62" s="26"/>
      <c r="M62" s="26"/>
      <c r="N62" s="22"/>
      <c r="O62" s="22"/>
    </row>
    <row r="63" spans="1:19" ht="9.75" customHeight="1" x14ac:dyDescent="0.15">
      <c r="A63" s="1">
        <v>57</v>
      </c>
      <c r="D63" s="20" t="s">
        <v>69</v>
      </c>
      <c r="E63" s="1">
        <f>F63+H63+J63+L63+N63</f>
        <v>42406</v>
      </c>
      <c r="F63" s="1">
        <v>14362</v>
      </c>
      <c r="G63" s="1">
        <f t="shared" ref="G63:G80" si="5">F63*100/$E63</f>
        <v>33.867848889308114</v>
      </c>
      <c r="H63" s="1">
        <v>4274</v>
      </c>
      <c r="I63" s="1">
        <f t="shared" ref="I63:I80" si="6">H63*100/$E63</f>
        <v>10.07876243927746</v>
      </c>
      <c r="J63" s="1">
        <v>21306</v>
      </c>
      <c r="K63" s="1">
        <f t="shared" ref="K63:K80" si="7">J63*100/$E63</f>
        <v>50.242890157053246</v>
      </c>
      <c r="L63" s="1">
        <v>1444</v>
      </c>
      <c r="M63" s="1">
        <f t="shared" ref="M63:M80" si="8">L63*100/$E63</f>
        <v>3.4051785124746496</v>
      </c>
      <c r="N63" s="1">
        <f>561+274+185</f>
        <v>1020</v>
      </c>
      <c r="O63" s="1">
        <f t="shared" ref="O63:O80" si="9">N63*100/$E63</f>
        <v>2.4053200018865253</v>
      </c>
      <c r="S63" s="2">
        <v>1</v>
      </c>
    </row>
    <row r="64" spans="1:19" ht="9.75" customHeight="1" x14ac:dyDescent="0.15">
      <c r="A64" s="1">
        <v>25</v>
      </c>
      <c r="D64" s="20" t="s">
        <v>70</v>
      </c>
      <c r="E64" s="1">
        <f>F64+H64+J64+L64+N64</f>
        <v>43359</v>
      </c>
      <c r="F64" s="1">
        <v>12940</v>
      </c>
      <c r="G64" s="1">
        <f t="shared" si="5"/>
        <v>29.843861712677874</v>
      </c>
      <c r="H64" s="1">
        <v>5279</v>
      </c>
      <c r="I64" s="1">
        <f t="shared" si="6"/>
        <v>12.175096289121059</v>
      </c>
      <c r="J64" s="1">
        <v>22679</v>
      </c>
      <c r="K64" s="1">
        <f t="shared" si="7"/>
        <v>52.305173089785278</v>
      </c>
      <c r="L64" s="1">
        <v>1717</v>
      </c>
      <c r="M64" s="1">
        <f t="shared" si="8"/>
        <v>3.9599621762494523</v>
      </c>
      <c r="N64" s="1">
        <f>455+289</f>
        <v>744</v>
      </c>
      <c r="O64" s="1">
        <f t="shared" si="9"/>
        <v>1.7159067321663322</v>
      </c>
      <c r="S64" s="2">
        <v>1</v>
      </c>
    </row>
    <row r="65" spans="1:19" ht="9.75" customHeight="1" x14ac:dyDescent="0.15">
      <c r="B65" s="1">
        <v>20</v>
      </c>
      <c r="C65" s="1" t="s">
        <v>8</v>
      </c>
      <c r="D65" s="20" t="s">
        <v>71</v>
      </c>
      <c r="E65" s="16">
        <f>E63+E64</f>
        <v>85765</v>
      </c>
      <c r="F65" s="16">
        <f>F63+F64</f>
        <v>27302</v>
      </c>
      <c r="G65" s="16">
        <f t="shared" si="5"/>
        <v>31.833498513379585</v>
      </c>
      <c r="H65" s="16">
        <f>H63+H64</f>
        <v>9553</v>
      </c>
      <c r="I65" s="16">
        <f t="shared" si="6"/>
        <v>11.138576342330788</v>
      </c>
      <c r="J65" s="16">
        <f>J63+J64</f>
        <v>43985</v>
      </c>
      <c r="K65" s="16">
        <f t="shared" si="7"/>
        <v>51.285489418760569</v>
      </c>
      <c r="L65" s="16">
        <f>L63+L64</f>
        <v>3161</v>
      </c>
      <c r="M65" s="16">
        <f t="shared" si="8"/>
        <v>3.6856526555121554</v>
      </c>
      <c r="N65" s="16">
        <f>N63+N64</f>
        <v>1764</v>
      </c>
      <c r="O65" s="16">
        <f t="shared" si="9"/>
        <v>2.0567830700169067</v>
      </c>
    </row>
    <row r="66" spans="1:19" ht="9.75" customHeight="1" x14ac:dyDescent="0.15">
      <c r="A66" s="1">
        <v>23</v>
      </c>
      <c r="D66" s="15" t="s">
        <v>72</v>
      </c>
      <c r="E66" s="1">
        <f>F66+H66+J66+L66+N66</f>
        <v>36168</v>
      </c>
      <c r="F66" s="1">
        <v>12686</v>
      </c>
      <c r="G66" s="1">
        <f t="shared" si="5"/>
        <v>35.075204600752045</v>
      </c>
      <c r="H66" s="1">
        <v>11909</v>
      </c>
      <c r="I66" s="1">
        <f t="shared" si="6"/>
        <v>32.92689670426897</v>
      </c>
      <c r="J66" s="1">
        <v>9519</v>
      </c>
      <c r="K66" s="1">
        <f t="shared" si="7"/>
        <v>26.318845388188453</v>
      </c>
      <c r="L66" s="1">
        <v>1468</v>
      </c>
      <c r="M66" s="1">
        <f t="shared" si="8"/>
        <v>4.0588365405883655</v>
      </c>
      <c r="N66" s="1">
        <f>323+263</f>
        <v>586</v>
      </c>
      <c r="O66" s="1">
        <f t="shared" si="9"/>
        <v>1.6202167662021676</v>
      </c>
      <c r="Q66" s="2">
        <v>1</v>
      </c>
    </row>
    <row r="67" spans="1:19" ht="9.75" customHeight="1" x14ac:dyDescent="0.15">
      <c r="A67" s="1">
        <v>79</v>
      </c>
      <c r="D67" s="15" t="s">
        <v>73</v>
      </c>
      <c r="E67" s="1">
        <f>F67+H67+J67+L67+N67</f>
        <v>41301</v>
      </c>
      <c r="F67" s="1">
        <v>17113</v>
      </c>
      <c r="G67" s="1">
        <f t="shared" si="5"/>
        <v>41.434832086390159</v>
      </c>
      <c r="H67" s="1">
        <v>7232</v>
      </c>
      <c r="I67" s="1">
        <f t="shared" si="6"/>
        <v>17.510471901406746</v>
      </c>
      <c r="J67" s="1">
        <v>14322</v>
      </c>
      <c r="K67" s="1">
        <f t="shared" si="7"/>
        <v>34.677126461829012</v>
      </c>
      <c r="L67" s="1">
        <v>1971</v>
      </c>
      <c r="M67" s="1">
        <f t="shared" si="8"/>
        <v>4.772281542819786</v>
      </c>
      <c r="N67" s="1">
        <f>407+256</f>
        <v>663</v>
      </c>
      <c r="O67" s="1">
        <f t="shared" si="9"/>
        <v>1.6052880075542966</v>
      </c>
      <c r="Q67" s="2">
        <v>1</v>
      </c>
    </row>
    <row r="68" spans="1:19" ht="9.75" customHeight="1" x14ac:dyDescent="0.15">
      <c r="A68" s="5"/>
      <c r="B68" s="5">
        <v>21</v>
      </c>
      <c r="C68" s="5" t="s">
        <v>5</v>
      </c>
      <c r="D68" s="18" t="s">
        <v>74</v>
      </c>
      <c r="E68" s="12">
        <f>E66+E67</f>
        <v>77469</v>
      </c>
      <c r="F68" s="12">
        <f>F66+F67</f>
        <v>29799</v>
      </c>
      <c r="G68" s="12">
        <f t="shared" si="5"/>
        <v>38.465708864190837</v>
      </c>
      <c r="H68" s="12">
        <f>H66+H67</f>
        <v>19141</v>
      </c>
      <c r="I68" s="12">
        <f t="shared" si="6"/>
        <v>24.707947695207114</v>
      </c>
      <c r="J68" s="12">
        <f>J66+J67</f>
        <v>23841</v>
      </c>
      <c r="K68" s="12">
        <f t="shared" si="7"/>
        <v>30.77489060140185</v>
      </c>
      <c r="L68" s="12">
        <f>L66+L67</f>
        <v>3439</v>
      </c>
      <c r="M68" s="12">
        <f t="shared" si="8"/>
        <v>4.4391950328518508</v>
      </c>
      <c r="N68" s="12">
        <f>N66+N67</f>
        <v>1249</v>
      </c>
      <c r="O68" s="12">
        <f t="shared" si="9"/>
        <v>1.6122578063483457</v>
      </c>
      <c r="P68" s="13"/>
    </row>
    <row r="69" spans="1:19" ht="9.75" customHeight="1" x14ac:dyDescent="0.15">
      <c r="A69" s="1">
        <v>22</v>
      </c>
      <c r="D69" s="15" t="s">
        <v>75</v>
      </c>
      <c r="E69" s="1">
        <f>F69+H69+J69+L69+N69</f>
        <v>40252</v>
      </c>
      <c r="F69" s="1">
        <v>16934</v>
      </c>
      <c r="G69" s="1">
        <f t="shared" si="5"/>
        <v>42.0699592566829</v>
      </c>
      <c r="H69" s="1">
        <v>7215</v>
      </c>
      <c r="I69" s="1">
        <f t="shared" si="6"/>
        <v>17.92457517638875</v>
      </c>
      <c r="J69" s="1">
        <v>13053</v>
      </c>
      <c r="K69" s="1">
        <f t="shared" si="7"/>
        <v>32.428202325350291</v>
      </c>
      <c r="L69" s="1">
        <v>1936</v>
      </c>
      <c r="M69" s="1">
        <f t="shared" si="8"/>
        <v>4.8096988969492198</v>
      </c>
      <c r="N69" s="1">
        <f>450+315+257+52+40</f>
        <v>1114</v>
      </c>
      <c r="O69" s="1">
        <f t="shared" si="9"/>
        <v>2.7675643446288385</v>
      </c>
      <c r="Q69" s="2">
        <v>1</v>
      </c>
    </row>
    <row r="70" spans="1:19" ht="9.75" customHeight="1" x14ac:dyDescent="0.15">
      <c r="A70" s="1">
        <v>48</v>
      </c>
      <c r="D70" s="15" t="s">
        <v>76</v>
      </c>
      <c r="E70" s="1">
        <f>F70+H70+J70+L70+N70</f>
        <v>31248</v>
      </c>
      <c r="F70" s="1">
        <v>11645</v>
      </c>
      <c r="G70" s="1">
        <f t="shared" si="5"/>
        <v>37.266385048643116</v>
      </c>
      <c r="H70" s="1">
        <v>6998</v>
      </c>
      <c r="I70" s="1">
        <f t="shared" si="6"/>
        <v>22.395033282130058</v>
      </c>
      <c r="J70" s="1">
        <v>7431</v>
      </c>
      <c r="K70" s="1">
        <f t="shared" si="7"/>
        <v>23.780721966205839</v>
      </c>
      <c r="L70" s="1">
        <v>3626</v>
      </c>
      <c r="M70" s="1">
        <f t="shared" si="8"/>
        <v>11.603942652329749</v>
      </c>
      <c r="N70" s="1">
        <f>782+384+246+93+43</f>
        <v>1548</v>
      </c>
      <c r="O70" s="1">
        <f t="shared" si="9"/>
        <v>4.9539170506912447</v>
      </c>
      <c r="Q70" s="2">
        <v>1</v>
      </c>
    </row>
    <row r="71" spans="1:19" ht="9.75" customHeight="1" x14ac:dyDescent="0.15">
      <c r="B71" s="1">
        <v>22</v>
      </c>
      <c r="C71" s="5" t="s">
        <v>5</v>
      </c>
      <c r="D71" s="15" t="s">
        <v>77</v>
      </c>
      <c r="E71" s="16">
        <f>E69+E70</f>
        <v>71500</v>
      </c>
      <c r="F71" s="16">
        <f>F69+F70</f>
        <v>28579</v>
      </c>
      <c r="G71" s="16">
        <f t="shared" si="5"/>
        <v>39.970629370629368</v>
      </c>
      <c r="H71" s="16">
        <f>H69+H70</f>
        <v>14213</v>
      </c>
      <c r="I71" s="16">
        <f t="shared" si="6"/>
        <v>19.878321678321679</v>
      </c>
      <c r="J71" s="16">
        <f>J69+J70</f>
        <v>20484</v>
      </c>
      <c r="K71" s="16">
        <f t="shared" si="7"/>
        <v>28.648951048951048</v>
      </c>
      <c r="L71" s="16">
        <f>L69+L70</f>
        <v>5562</v>
      </c>
      <c r="M71" s="16">
        <f t="shared" si="8"/>
        <v>7.779020979020979</v>
      </c>
      <c r="N71" s="16">
        <f>N69+N70</f>
        <v>2662</v>
      </c>
      <c r="O71" s="16">
        <f t="shared" si="9"/>
        <v>3.7230769230769232</v>
      </c>
    </row>
    <row r="72" spans="1:19" ht="9.75" customHeight="1" x14ac:dyDescent="0.15">
      <c r="A72" s="1">
        <v>114</v>
      </c>
      <c r="D72" s="17" t="s">
        <v>78</v>
      </c>
      <c r="E72" s="1">
        <f>F72+H72+J72+L72+N72</f>
        <v>34549</v>
      </c>
      <c r="F72" s="1">
        <v>10545</v>
      </c>
      <c r="G72" s="1">
        <f t="shared" si="5"/>
        <v>30.521867492546818</v>
      </c>
      <c r="H72" s="1">
        <v>10943</v>
      </c>
      <c r="I72" s="1">
        <f t="shared" si="6"/>
        <v>31.673854525456598</v>
      </c>
      <c r="J72" s="1">
        <v>5740</v>
      </c>
      <c r="K72" s="1">
        <f t="shared" si="7"/>
        <v>16.614084343975225</v>
      </c>
      <c r="L72" s="1">
        <v>5184</v>
      </c>
      <c r="M72" s="1">
        <f t="shared" si="8"/>
        <v>15.004775825638948</v>
      </c>
      <c r="N72" s="1">
        <v>2137</v>
      </c>
      <c r="O72" s="1">
        <f t="shared" si="9"/>
        <v>6.1854178123824131</v>
      </c>
      <c r="R72" s="2">
        <v>1</v>
      </c>
    </row>
    <row r="73" spans="1:19" ht="9.75" customHeight="1" x14ac:dyDescent="0.15">
      <c r="A73" s="1">
        <v>119</v>
      </c>
      <c r="D73" s="15" t="s">
        <v>79</v>
      </c>
      <c r="E73" s="1">
        <f>F73+H73+J73+L73+N73</f>
        <v>42144</v>
      </c>
      <c r="F73" s="1">
        <v>18398</v>
      </c>
      <c r="G73" s="1">
        <f t="shared" si="5"/>
        <v>43.65508731966591</v>
      </c>
      <c r="H73" s="1">
        <v>6337</v>
      </c>
      <c r="I73" s="1">
        <f t="shared" si="6"/>
        <v>15.036541381928625</v>
      </c>
      <c r="J73" s="1">
        <v>14535</v>
      </c>
      <c r="K73" s="1">
        <f t="shared" si="7"/>
        <v>34.488895216400913</v>
      </c>
      <c r="L73" s="1">
        <v>1910</v>
      </c>
      <c r="M73" s="1">
        <f t="shared" si="8"/>
        <v>4.5320804859529229</v>
      </c>
      <c r="N73" s="1">
        <f>564+400</f>
        <v>964</v>
      </c>
      <c r="O73" s="1">
        <f t="shared" si="9"/>
        <v>2.2873955960516326</v>
      </c>
      <c r="Q73" s="2">
        <v>1</v>
      </c>
    </row>
    <row r="74" spans="1:19" ht="9.75" customHeight="1" x14ac:dyDescent="0.15">
      <c r="B74" s="1">
        <v>23</v>
      </c>
      <c r="C74" s="5" t="s">
        <v>5</v>
      </c>
      <c r="D74" s="15" t="s">
        <v>80</v>
      </c>
      <c r="E74" s="16">
        <f>E72+E73</f>
        <v>76693</v>
      </c>
      <c r="F74" s="16">
        <f>F72+F73</f>
        <v>28943</v>
      </c>
      <c r="G74" s="16">
        <f t="shared" si="5"/>
        <v>37.738776681053032</v>
      </c>
      <c r="H74" s="16">
        <f>H72+H73</f>
        <v>17280</v>
      </c>
      <c r="I74" s="16">
        <f t="shared" si="6"/>
        <v>22.531391391652431</v>
      </c>
      <c r="J74" s="16">
        <f>J72+J73</f>
        <v>20275</v>
      </c>
      <c r="K74" s="16">
        <f t="shared" si="7"/>
        <v>26.436571786212561</v>
      </c>
      <c r="L74" s="16">
        <f>L72+L73</f>
        <v>7094</v>
      </c>
      <c r="M74" s="16">
        <f t="shared" si="8"/>
        <v>9.2498663502536083</v>
      </c>
      <c r="N74" s="16">
        <f>N72+N73</f>
        <v>3101</v>
      </c>
      <c r="O74" s="16">
        <f t="shared" si="9"/>
        <v>4.0433937908283673</v>
      </c>
    </row>
    <row r="75" spans="1:19" ht="9.75" customHeight="1" x14ac:dyDescent="0.15">
      <c r="A75" s="1">
        <v>65</v>
      </c>
      <c r="D75" s="20" t="s">
        <v>81</v>
      </c>
      <c r="E75" s="1">
        <f>F75+H75+J75+L75+N75</f>
        <v>34886</v>
      </c>
      <c r="F75" s="1">
        <v>12178</v>
      </c>
      <c r="G75" s="1">
        <f t="shared" si="5"/>
        <v>34.907986011580576</v>
      </c>
      <c r="H75" s="1">
        <v>5797</v>
      </c>
      <c r="I75" s="1">
        <f t="shared" si="6"/>
        <v>16.616981023906437</v>
      </c>
      <c r="J75" s="1">
        <v>14131</v>
      </c>
      <c r="K75" s="1">
        <f t="shared" si="7"/>
        <v>40.506220260276329</v>
      </c>
      <c r="L75" s="1">
        <v>2147</v>
      </c>
      <c r="M75" s="1">
        <f t="shared" si="8"/>
        <v>6.1543312503583101</v>
      </c>
      <c r="N75" s="1">
        <v>633</v>
      </c>
      <c r="O75" s="1">
        <f t="shared" si="9"/>
        <v>1.8144814538783467</v>
      </c>
      <c r="S75" s="2">
        <v>1</v>
      </c>
    </row>
    <row r="76" spans="1:19" ht="9.75" customHeight="1" x14ac:dyDescent="0.15">
      <c r="A76" s="1">
        <v>49</v>
      </c>
      <c r="D76" s="15" t="s">
        <v>82</v>
      </c>
      <c r="E76" s="1">
        <f>F76+H76+J76+L76+N76</f>
        <v>34812</v>
      </c>
      <c r="F76" s="1">
        <v>15492</v>
      </c>
      <c r="G76" s="1">
        <f t="shared" si="5"/>
        <v>44.501895897966222</v>
      </c>
      <c r="H76" s="1">
        <v>7824</v>
      </c>
      <c r="I76" s="1">
        <f t="shared" si="6"/>
        <v>22.475008617718029</v>
      </c>
      <c r="J76" s="1">
        <v>7158</v>
      </c>
      <c r="K76" s="1">
        <f t="shared" si="7"/>
        <v>20.561875215442949</v>
      </c>
      <c r="L76" s="1">
        <v>3151</v>
      </c>
      <c r="M76" s="1">
        <f t="shared" si="8"/>
        <v>9.0514765023555093</v>
      </c>
      <c r="N76" s="1">
        <v>1187</v>
      </c>
      <c r="O76" s="1">
        <f t="shared" si="9"/>
        <v>3.4097437665172929</v>
      </c>
      <c r="Q76" s="2">
        <v>1</v>
      </c>
    </row>
    <row r="77" spans="1:19" ht="9.75" customHeight="1" x14ac:dyDescent="0.2">
      <c r="A77"/>
      <c r="B77" s="1">
        <v>24</v>
      </c>
      <c r="C77" s="5" t="s">
        <v>5</v>
      </c>
      <c r="D77" s="15" t="s">
        <v>83</v>
      </c>
      <c r="E77" s="16">
        <f>E75+E76</f>
        <v>69698</v>
      </c>
      <c r="F77" s="16">
        <f>F75+F76</f>
        <v>27670</v>
      </c>
      <c r="G77" s="16">
        <f t="shared" si="5"/>
        <v>39.699847915291684</v>
      </c>
      <c r="H77" s="16">
        <f>H75+H76</f>
        <v>13621</v>
      </c>
      <c r="I77" s="16">
        <f t="shared" si="6"/>
        <v>19.542885018221469</v>
      </c>
      <c r="J77" s="16">
        <f>J75+J76</f>
        <v>21289</v>
      </c>
      <c r="K77" s="16">
        <f t="shared" si="7"/>
        <v>30.544635427128469</v>
      </c>
      <c r="L77" s="16">
        <f>L75+L76</f>
        <v>5298</v>
      </c>
      <c r="M77" s="16">
        <f t="shared" si="8"/>
        <v>7.6013658928520185</v>
      </c>
      <c r="N77" s="16">
        <f>N75+N76</f>
        <v>1820</v>
      </c>
      <c r="O77" s="16">
        <f t="shared" si="9"/>
        <v>2.6112657465063558</v>
      </c>
    </row>
    <row r="78" spans="1:19" ht="9.75" customHeight="1" x14ac:dyDescent="0.15">
      <c r="A78" s="1">
        <v>89</v>
      </c>
      <c r="D78" s="15" t="s">
        <v>84</v>
      </c>
      <c r="E78" s="1">
        <f>F78+H78+J78+L78+N78</f>
        <v>30851</v>
      </c>
      <c r="F78" s="1">
        <v>12779</v>
      </c>
      <c r="G78" s="1">
        <f t="shared" si="5"/>
        <v>41.421671906907392</v>
      </c>
      <c r="H78" s="1">
        <v>4525</v>
      </c>
      <c r="I78" s="1">
        <f t="shared" si="6"/>
        <v>14.667271725389776</v>
      </c>
      <c r="J78" s="1">
        <v>11720</v>
      </c>
      <c r="K78" s="1">
        <f t="shared" si="7"/>
        <v>37.989044115263688</v>
      </c>
      <c r="L78" s="1">
        <v>1209</v>
      </c>
      <c r="M78" s="1">
        <f t="shared" si="8"/>
        <v>3.9188356941428153</v>
      </c>
      <c r="N78" s="1">
        <v>618</v>
      </c>
      <c r="O78" s="1">
        <f t="shared" si="9"/>
        <v>2.0031765582963277</v>
      </c>
      <c r="Q78" s="2">
        <v>1</v>
      </c>
    </row>
    <row r="79" spans="1:19" ht="9.75" customHeight="1" x14ac:dyDescent="0.15">
      <c r="A79" s="1">
        <v>67</v>
      </c>
      <c r="D79" s="15" t="s">
        <v>85</v>
      </c>
      <c r="E79" s="1">
        <f>F79+H79+J79+L79+N79</f>
        <v>37229</v>
      </c>
      <c r="F79" s="1">
        <v>18324</v>
      </c>
      <c r="G79" s="1">
        <f t="shared" si="5"/>
        <v>49.219694324317068</v>
      </c>
      <c r="H79" s="1">
        <v>6841</v>
      </c>
      <c r="I79" s="1">
        <f t="shared" si="6"/>
        <v>18.375459990867334</v>
      </c>
      <c r="J79" s="1">
        <v>9648</v>
      </c>
      <c r="K79" s="1">
        <f t="shared" si="7"/>
        <v>25.915281098068711</v>
      </c>
      <c r="L79" s="1">
        <v>1840</v>
      </c>
      <c r="M79" s="1">
        <f t="shared" si="8"/>
        <v>4.9423836256681621</v>
      </c>
      <c r="N79" s="1">
        <f>310+266</f>
        <v>576</v>
      </c>
      <c r="O79" s="1">
        <f t="shared" si="9"/>
        <v>1.547180961078729</v>
      </c>
      <c r="Q79" s="2">
        <v>1</v>
      </c>
    </row>
    <row r="80" spans="1:19" ht="9.75" customHeight="1" x14ac:dyDescent="0.15">
      <c r="B80" s="1">
        <v>25</v>
      </c>
      <c r="C80" s="5" t="s">
        <v>5</v>
      </c>
      <c r="D80" s="15" t="s">
        <v>86</v>
      </c>
      <c r="E80" s="16">
        <f>E78+E79</f>
        <v>68080</v>
      </c>
      <c r="F80" s="16">
        <f>F78+F79</f>
        <v>31103</v>
      </c>
      <c r="G80" s="16">
        <f t="shared" si="5"/>
        <v>45.685957696827259</v>
      </c>
      <c r="H80" s="16">
        <f>H78+H79</f>
        <v>11366</v>
      </c>
      <c r="I80" s="16">
        <f t="shared" si="6"/>
        <v>16.695064629847238</v>
      </c>
      <c r="J80" s="16">
        <f>J78+J79</f>
        <v>21368</v>
      </c>
      <c r="K80" s="16">
        <f t="shared" si="7"/>
        <v>31.386603995299648</v>
      </c>
      <c r="L80" s="16">
        <f>L78+L79</f>
        <v>3049</v>
      </c>
      <c r="M80" s="16">
        <f t="shared" si="8"/>
        <v>4.4785546415981194</v>
      </c>
      <c r="N80" s="16">
        <f>N78+N79</f>
        <v>1194</v>
      </c>
      <c r="O80" s="16">
        <f t="shared" si="9"/>
        <v>1.7538190364277322</v>
      </c>
    </row>
    <row r="81" spans="1:19" ht="9.75" customHeight="1" x14ac:dyDescent="0.15"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1:19" ht="9.75" customHeight="1" x14ac:dyDescent="0.2">
      <c r="A82" s="3" t="s">
        <v>363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1:19" ht="9.75" customHeight="1" x14ac:dyDescent="0.15">
      <c r="A83" s="22" t="s">
        <v>0</v>
      </c>
      <c r="B83" s="22" t="s">
        <v>1</v>
      </c>
      <c r="C83" s="22"/>
      <c r="D83" s="22" t="s">
        <v>3</v>
      </c>
      <c r="E83" s="22" t="s">
        <v>4</v>
      </c>
      <c r="F83" s="23" t="s">
        <v>5</v>
      </c>
      <c r="G83" s="23" t="s">
        <v>6</v>
      </c>
      <c r="H83" s="24" t="s">
        <v>7</v>
      </c>
      <c r="I83" s="24" t="s">
        <v>6</v>
      </c>
      <c r="J83" s="25" t="s">
        <v>8</v>
      </c>
      <c r="K83" s="25" t="s">
        <v>6</v>
      </c>
      <c r="L83" s="26" t="s">
        <v>9</v>
      </c>
      <c r="M83" s="26" t="s">
        <v>6</v>
      </c>
      <c r="N83" s="22" t="s">
        <v>10</v>
      </c>
      <c r="O83" s="22" t="s">
        <v>6</v>
      </c>
    </row>
    <row r="84" spans="1:19" ht="13.9" customHeight="1" x14ac:dyDescent="0.2">
      <c r="D84" s="28" t="s">
        <v>87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spans="1:19" ht="9.75" customHeight="1" x14ac:dyDescent="0.15">
      <c r="A85" s="1">
        <v>37</v>
      </c>
      <c r="D85" s="17" t="s">
        <v>88</v>
      </c>
      <c r="E85" s="1">
        <v>19019</v>
      </c>
      <c r="F85" s="1">
        <v>6513</v>
      </c>
      <c r="G85" s="1">
        <v>33.799999999999997</v>
      </c>
      <c r="H85" s="1">
        <v>10026</v>
      </c>
      <c r="I85" s="1">
        <v>52.02</v>
      </c>
      <c r="J85" s="1">
        <v>1192</v>
      </c>
      <c r="K85" s="1">
        <v>6.19</v>
      </c>
      <c r="L85" s="1">
        <v>988</v>
      </c>
      <c r="M85" s="1">
        <v>5.13</v>
      </c>
      <c r="N85" s="1">
        <v>300</v>
      </c>
      <c r="O85" s="1">
        <v>1.56</v>
      </c>
      <c r="R85" s="2">
        <v>1</v>
      </c>
    </row>
    <row r="86" spans="1:19" ht="9.75" customHeight="1" x14ac:dyDescent="0.15">
      <c r="A86" s="1">
        <v>14</v>
      </c>
      <c r="D86" s="17" t="s">
        <v>89</v>
      </c>
      <c r="E86" s="1">
        <v>24902</v>
      </c>
      <c r="F86" s="1">
        <v>10508</v>
      </c>
      <c r="G86" s="1">
        <v>42.2</v>
      </c>
      <c r="H86" s="1">
        <v>11380</v>
      </c>
      <c r="I86" s="1">
        <v>45.7</v>
      </c>
      <c r="J86" s="1">
        <v>1061</v>
      </c>
      <c r="K86" s="1">
        <v>4.26</v>
      </c>
      <c r="L86" s="1">
        <v>1540</v>
      </c>
      <c r="M86" s="1">
        <v>6.18</v>
      </c>
      <c r="N86" s="1">
        <v>130</v>
      </c>
      <c r="O86" s="1">
        <v>0.52</v>
      </c>
      <c r="R86" s="2">
        <v>1</v>
      </c>
    </row>
    <row r="87" spans="1:19" ht="9.75" customHeight="1" x14ac:dyDescent="0.15">
      <c r="B87" s="1">
        <v>26</v>
      </c>
      <c r="C87" s="1" t="s">
        <v>7</v>
      </c>
      <c r="D87" s="17" t="s">
        <v>90</v>
      </c>
      <c r="E87" s="16">
        <f>E85+E86</f>
        <v>43921</v>
      </c>
      <c r="F87" s="16">
        <f>F85+F86</f>
        <v>17021</v>
      </c>
      <c r="G87" s="16">
        <f>F87*100/$E87</f>
        <v>38.753671364495347</v>
      </c>
      <c r="H87" s="16">
        <f>H85+H86</f>
        <v>21406</v>
      </c>
      <c r="I87" s="16">
        <f>H87*100/$E87</f>
        <v>48.737505976639873</v>
      </c>
      <c r="J87" s="16">
        <f>J85+J86</f>
        <v>2253</v>
      </c>
      <c r="K87" s="16">
        <f>J87*100/$E87</f>
        <v>5.1296646251223788</v>
      </c>
      <c r="L87" s="16">
        <f>L85+L86</f>
        <v>2528</v>
      </c>
      <c r="M87" s="16">
        <f>L87*100/$E87</f>
        <v>5.7557888026228907</v>
      </c>
      <c r="N87" s="16">
        <f>N85+N86</f>
        <v>430</v>
      </c>
      <c r="O87" s="16">
        <f>N87*100/$E87</f>
        <v>0.97903053209171009</v>
      </c>
    </row>
    <row r="88" spans="1:19" ht="9.75" customHeight="1" x14ac:dyDescent="0.15">
      <c r="A88" s="1">
        <v>73</v>
      </c>
      <c r="D88" s="17" t="s">
        <v>91</v>
      </c>
      <c r="E88" s="1">
        <v>29473</v>
      </c>
      <c r="F88" s="1">
        <v>6711</v>
      </c>
      <c r="G88" s="1">
        <v>22.77</v>
      </c>
      <c r="H88" s="1">
        <v>18025</v>
      </c>
      <c r="I88" s="1">
        <v>61.16</v>
      </c>
      <c r="J88" s="1">
        <v>3019</v>
      </c>
      <c r="K88" s="1">
        <v>10.24</v>
      </c>
      <c r="L88" s="1">
        <v>1511</v>
      </c>
      <c r="M88" s="1">
        <v>5.13</v>
      </c>
      <c r="N88" s="1">
        <v>207</v>
      </c>
      <c r="O88" s="1">
        <v>0.7</v>
      </c>
      <c r="R88" s="2">
        <v>1</v>
      </c>
    </row>
    <row r="89" spans="1:19" ht="9.75" customHeight="1" x14ac:dyDescent="0.15">
      <c r="A89" s="1">
        <v>94</v>
      </c>
      <c r="D89" s="17" t="s">
        <v>92</v>
      </c>
      <c r="E89" s="1">
        <v>29373</v>
      </c>
      <c r="F89" s="1">
        <v>8797</v>
      </c>
      <c r="G89" s="1">
        <v>29.95</v>
      </c>
      <c r="H89" s="1">
        <v>11923</v>
      </c>
      <c r="I89" s="1">
        <v>40.590000000000003</v>
      </c>
      <c r="J89" s="1">
        <v>3173</v>
      </c>
      <c r="K89" s="1">
        <v>10.8</v>
      </c>
      <c r="L89" s="1">
        <v>4812</v>
      </c>
      <c r="M89" s="1">
        <v>16.38</v>
      </c>
      <c r="N89" s="1">
        <v>668</v>
      </c>
      <c r="O89" s="1">
        <v>2.27</v>
      </c>
      <c r="R89" s="2">
        <v>1</v>
      </c>
    </row>
    <row r="90" spans="1:19" ht="9.75" customHeight="1" x14ac:dyDescent="0.15">
      <c r="B90" s="1">
        <v>27</v>
      </c>
      <c r="C90" s="1" t="s">
        <v>7</v>
      </c>
      <c r="D90" s="17" t="s">
        <v>93</v>
      </c>
      <c r="E90" s="16">
        <f>E88+E89</f>
        <v>58846</v>
      </c>
      <c r="F90" s="16">
        <f>F88+F89</f>
        <v>15508</v>
      </c>
      <c r="G90" s="16">
        <f t="shared" ref="G90:G121" si="10">F90*100/$E90</f>
        <v>26.353532950412941</v>
      </c>
      <c r="H90" s="16">
        <f>H88+H89</f>
        <v>29948</v>
      </c>
      <c r="I90" s="16">
        <f t="shared" ref="I90:I121" si="11">H90*100/$E90</f>
        <v>50.892159195187439</v>
      </c>
      <c r="J90" s="16">
        <f>J88+J89</f>
        <v>6192</v>
      </c>
      <c r="K90" s="16">
        <f t="shared" ref="K90:K121" si="12">J90*100/$E90</f>
        <v>10.522380450667844</v>
      </c>
      <c r="L90" s="16">
        <f>L88+L89</f>
        <v>6323</v>
      </c>
      <c r="M90" s="16">
        <f t="shared" ref="M90:M121" si="13">L90*100/$E90</f>
        <v>10.744995411752711</v>
      </c>
      <c r="N90" s="16">
        <f>N88+N89</f>
        <v>875</v>
      </c>
      <c r="O90" s="16">
        <f t="shared" ref="O90:O126" si="14">N90*100/$E90</f>
        <v>1.486931991979064</v>
      </c>
    </row>
    <row r="91" spans="1:19" ht="9.75" customHeight="1" x14ac:dyDescent="0.15">
      <c r="A91" s="1">
        <v>29</v>
      </c>
      <c r="D91" s="15" t="s">
        <v>94</v>
      </c>
      <c r="E91" s="1">
        <f>F91+H91+J91+L91+N91</f>
        <v>34772</v>
      </c>
      <c r="F91" s="1">
        <v>17343</v>
      </c>
      <c r="G91" s="1">
        <f t="shared" si="10"/>
        <v>49.876337282871276</v>
      </c>
      <c r="H91" s="1">
        <v>6649</v>
      </c>
      <c r="I91" s="1">
        <f t="shared" si="11"/>
        <v>19.121707120671804</v>
      </c>
      <c r="J91" s="1">
        <v>8092</v>
      </c>
      <c r="K91" s="1">
        <f t="shared" si="12"/>
        <v>23.271597837340387</v>
      </c>
      <c r="L91" s="1">
        <v>1910</v>
      </c>
      <c r="M91" s="1">
        <f t="shared" si="13"/>
        <v>5.4929253422293796</v>
      </c>
      <c r="N91" s="1">
        <f>348+272+158</f>
        <v>778</v>
      </c>
      <c r="O91" s="1">
        <f t="shared" si="14"/>
        <v>2.2374324168871507</v>
      </c>
      <c r="Q91" s="2">
        <v>1</v>
      </c>
    </row>
    <row r="92" spans="1:19" ht="9.75" customHeight="1" x14ac:dyDescent="0.15">
      <c r="A92" s="1">
        <v>95</v>
      </c>
      <c r="D92" s="15" t="s">
        <v>95</v>
      </c>
      <c r="E92" s="1">
        <f>F92+H92+J92+L92+N92</f>
        <v>34986</v>
      </c>
      <c r="F92" s="1">
        <v>18086</v>
      </c>
      <c r="G92" s="1">
        <f t="shared" si="10"/>
        <v>51.694963699765623</v>
      </c>
      <c r="H92" s="1">
        <v>8378</v>
      </c>
      <c r="I92" s="1">
        <f t="shared" si="11"/>
        <v>23.946721545761161</v>
      </c>
      <c r="J92" s="1">
        <v>5794</v>
      </c>
      <c r="K92" s="1">
        <f t="shared" si="12"/>
        <v>16.56091007831704</v>
      </c>
      <c r="L92" s="1">
        <v>2129</v>
      </c>
      <c r="M92" s="1">
        <f t="shared" si="13"/>
        <v>6.0852912593608872</v>
      </c>
      <c r="N92" s="1">
        <f>354+245</f>
        <v>599</v>
      </c>
      <c r="O92" s="1">
        <f t="shared" si="14"/>
        <v>1.7121134167952896</v>
      </c>
      <c r="Q92" s="2">
        <v>1</v>
      </c>
    </row>
    <row r="93" spans="1:19" ht="9.75" customHeight="1" x14ac:dyDescent="0.15">
      <c r="A93" s="5"/>
      <c r="B93" s="5">
        <v>28</v>
      </c>
      <c r="C93" s="5" t="s">
        <v>5</v>
      </c>
      <c r="D93" s="18" t="s">
        <v>96</v>
      </c>
      <c r="E93" s="12">
        <f>E91+E92</f>
        <v>69758</v>
      </c>
      <c r="F93" s="12">
        <f>F91+F92</f>
        <v>35429</v>
      </c>
      <c r="G93" s="12">
        <f t="shared" si="10"/>
        <v>50.788440035551481</v>
      </c>
      <c r="H93" s="12">
        <f>H91+H92</f>
        <v>15027</v>
      </c>
      <c r="I93" s="12">
        <f t="shared" si="11"/>
        <v>21.541615298603745</v>
      </c>
      <c r="J93" s="12">
        <f>J91+J92</f>
        <v>13886</v>
      </c>
      <c r="K93" s="12">
        <f t="shared" si="12"/>
        <v>19.905960606668771</v>
      </c>
      <c r="L93" s="12">
        <f>L91+L92</f>
        <v>4039</v>
      </c>
      <c r="M93" s="12">
        <f t="shared" si="13"/>
        <v>5.7900169156225809</v>
      </c>
      <c r="N93" s="12">
        <f>N91+N92</f>
        <v>1377</v>
      </c>
      <c r="O93" s="12">
        <f t="shared" si="14"/>
        <v>1.9739671435534276</v>
      </c>
      <c r="P93" s="13"/>
    </row>
    <row r="94" spans="1:19" ht="9.75" customHeight="1" x14ac:dyDescent="0.15">
      <c r="A94" s="1">
        <v>10</v>
      </c>
      <c r="D94" s="15" t="s">
        <v>97</v>
      </c>
      <c r="E94" s="1">
        <f>F94+H94+J94+L94+N94</f>
        <v>32222</v>
      </c>
      <c r="F94" s="1">
        <v>15910</v>
      </c>
      <c r="G94" s="1">
        <f t="shared" si="10"/>
        <v>49.376202594500654</v>
      </c>
      <c r="H94" s="1">
        <v>4281</v>
      </c>
      <c r="I94" s="1">
        <f t="shared" si="11"/>
        <v>13.285953696232388</v>
      </c>
      <c r="J94" s="1">
        <v>10667</v>
      </c>
      <c r="K94" s="1">
        <f t="shared" si="12"/>
        <v>33.104711066972875</v>
      </c>
      <c r="L94" s="1">
        <v>868</v>
      </c>
      <c r="M94" s="1">
        <f t="shared" si="13"/>
        <v>2.6938116814598723</v>
      </c>
      <c r="N94" s="1">
        <f>380+116</f>
        <v>496</v>
      </c>
      <c r="O94" s="1">
        <f t="shared" si="14"/>
        <v>1.5393209608342127</v>
      </c>
      <c r="Q94" s="2">
        <v>1</v>
      </c>
    </row>
    <row r="95" spans="1:19" ht="9.75" customHeight="1" x14ac:dyDescent="0.15">
      <c r="A95" s="1">
        <v>7</v>
      </c>
      <c r="D95" s="20" t="s">
        <v>98</v>
      </c>
      <c r="E95" s="1">
        <f>F95+H95+J95+L95+N95</f>
        <v>30878</v>
      </c>
      <c r="F95" s="1">
        <v>11535</v>
      </c>
      <c r="G95" s="1">
        <f t="shared" si="10"/>
        <v>37.356694086404559</v>
      </c>
      <c r="H95" s="1">
        <v>2128</v>
      </c>
      <c r="I95" s="1">
        <f t="shared" si="11"/>
        <v>6.8916380594598099</v>
      </c>
      <c r="J95" s="1">
        <v>15761</v>
      </c>
      <c r="K95" s="1">
        <f t="shared" si="12"/>
        <v>51.042813653734051</v>
      </c>
      <c r="L95" s="1">
        <v>887</v>
      </c>
      <c r="M95" s="1">
        <f t="shared" si="13"/>
        <v>2.8725953753481441</v>
      </c>
      <c r="N95" s="1">
        <v>567</v>
      </c>
      <c r="O95" s="1">
        <f t="shared" si="14"/>
        <v>1.8362588250534362</v>
      </c>
      <c r="S95" s="2">
        <v>1</v>
      </c>
    </row>
    <row r="96" spans="1:19" ht="9.75" customHeight="1" x14ac:dyDescent="0.15">
      <c r="B96" s="1">
        <v>29</v>
      </c>
      <c r="C96" s="5" t="s">
        <v>5</v>
      </c>
      <c r="D96" s="15" t="s">
        <v>99</v>
      </c>
      <c r="E96" s="16">
        <f>E94+E95</f>
        <v>63100</v>
      </c>
      <c r="F96" s="16">
        <f>F94+F95</f>
        <v>27445</v>
      </c>
      <c r="G96" s="16">
        <f t="shared" si="10"/>
        <v>43.494453248811411</v>
      </c>
      <c r="H96" s="16">
        <f>H94+H95</f>
        <v>6409</v>
      </c>
      <c r="I96" s="16">
        <f t="shared" si="11"/>
        <v>10.156893819334391</v>
      </c>
      <c r="J96" s="16">
        <f>J94+J95</f>
        <v>26428</v>
      </c>
      <c r="K96" s="16">
        <f t="shared" si="12"/>
        <v>41.882725832012682</v>
      </c>
      <c r="L96" s="16">
        <f>L94+L95</f>
        <v>1755</v>
      </c>
      <c r="M96" s="16">
        <f t="shared" si="13"/>
        <v>2.7812995245641838</v>
      </c>
      <c r="N96" s="16">
        <f>N94+N95</f>
        <v>1063</v>
      </c>
      <c r="O96" s="16">
        <f t="shared" si="14"/>
        <v>1.6846275752773376</v>
      </c>
    </row>
    <row r="97" spans="1:19" ht="9.75" customHeight="1" x14ac:dyDescent="0.15">
      <c r="A97" s="1">
        <v>28</v>
      </c>
      <c r="D97" s="20" t="s">
        <v>100</v>
      </c>
      <c r="E97" s="1">
        <f>F97+H97+J97+L97+N97</f>
        <v>44611</v>
      </c>
      <c r="F97" s="1">
        <v>14509</v>
      </c>
      <c r="G97" s="1">
        <f t="shared" si="10"/>
        <v>32.523368675887113</v>
      </c>
      <c r="H97" s="1">
        <v>5758</v>
      </c>
      <c r="I97" s="1">
        <f t="shared" si="11"/>
        <v>12.907130528345027</v>
      </c>
      <c r="J97" s="1">
        <v>21275</v>
      </c>
      <c r="K97" s="1">
        <f t="shared" si="12"/>
        <v>47.690031606554435</v>
      </c>
      <c r="L97" s="1">
        <v>1972</v>
      </c>
      <c r="M97" s="1">
        <f t="shared" si="13"/>
        <v>4.4204344220035416</v>
      </c>
      <c r="N97" s="1">
        <f>589+272+236</f>
        <v>1097</v>
      </c>
      <c r="O97" s="16">
        <f t="shared" si="14"/>
        <v>2.4590347672098809</v>
      </c>
      <c r="S97" s="2">
        <v>1</v>
      </c>
    </row>
    <row r="98" spans="1:19" ht="9.75" customHeight="1" x14ac:dyDescent="0.15">
      <c r="A98" s="1">
        <v>66</v>
      </c>
      <c r="D98" s="15" t="s">
        <v>101</v>
      </c>
      <c r="E98" s="1">
        <f>F98+H98+J98+L98+N98</f>
        <v>39514</v>
      </c>
      <c r="F98" s="1">
        <v>19396</v>
      </c>
      <c r="G98" s="1">
        <f t="shared" si="10"/>
        <v>49.086399757048135</v>
      </c>
      <c r="H98" s="1">
        <v>6147</v>
      </c>
      <c r="I98" s="1">
        <f t="shared" si="11"/>
        <v>15.556511616136053</v>
      </c>
      <c r="J98" s="1">
        <v>11735</v>
      </c>
      <c r="K98" s="1">
        <f t="shared" si="12"/>
        <v>29.698334767424203</v>
      </c>
      <c r="L98" s="1">
        <v>1403</v>
      </c>
      <c r="M98" s="1">
        <f t="shared" si="13"/>
        <v>3.5506402793946448</v>
      </c>
      <c r="N98" s="1">
        <f>414+193+143+83</f>
        <v>833</v>
      </c>
      <c r="O98" s="1">
        <f t="shared" si="14"/>
        <v>2.1081135799969632</v>
      </c>
      <c r="Q98" s="2">
        <v>1</v>
      </c>
    </row>
    <row r="99" spans="1:19" ht="9.75" customHeight="1" x14ac:dyDescent="0.15">
      <c r="B99" s="1">
        <v>30</v>
      </c>
      <c r="C99" s="5" t="s">
        <v>5</v>
      </c>
      <c r="D99" s="15" t="s">
        <v>102</v>
      </c>
      <c r="E99" s="16">
        <f>E97+E98</f>
        <v>84125</v>
      </c>
      <c r="F99" s="16">
        <f>F97+F98</f>
        <v>33905</v>
      </c>
      <c r="G99" s="16">
        <f t="shared" si="10"/>
        <v>40.303120356612183</v>
      </c>
      <c r="H99" s="16">
        <f>H97+H98</f>
        <v>11905</v>
      </c>
      <c r="I99" s="16">
        <f t="shared" si="11"/>
        <v>14.151560178306092</v>
      </c>
      <c r="J99" s="16">
        <f>J97+J98</f>
        <v>33010</v>
      </c>
      <c r="K99" s="16">
        <f t="shared" si="12"/>
        <v>39.239227340267462</v>
      </c>
      <c r="L99" s="16">
        <f>L97+L98</f>
        <v>3375</v>
      </c>
      <c r="M99" s="16">
        <f t="shared" si="13"/>
        <v>4.0118870728083209</v>
      </c>
      <c r="N99" s="16">
        <f>N97+N98</f>
        <v>1930</v>
      </c>
      <c r="O99" s="16">
        <f t="shared" si="14"/>
        <v>2.2942050520059434</v>
      </c>
    </row>
    <row r="100" spans="1:19" ht="9.75" customHeight="1" x14ac:dyDescent="0.15">
      <c r="A100" s="1">
        <v>74</v>
      </c>
      <c r="D100" s="15" t="s">
        <v>103</v>
      </c>
      <c r="E100" s="1">
        <f>F100+H100+J100+L100+N100</f>
        <v>25956</v>
      </c>
      <c r="F100" s="1">
        <v>10606</v>
      </c>
      <c r="G100" s="1">
        <f t="shared" si="10"/>
        <v>40.861457851749115</v>
      </c>
      <c r="H100" s="1">
        <v>7670</v>
      </c>
      <c r="I100" s="1">
        <f t="shared" si="11"/>
        <v>29.550007705347511</v>
      </c>
      <c r="J100" s="1">
        <v>5992</v>
      </c>
      <c r="K100" s="1">
        <f t="shared" si="12"/>
        <v>23.085221143473571</v>
      </c>
      <c r="L100" s="1">
        <v>1463</v>
      </c>
      <c r="M100" s="1">
        <f t="shared" si="13"/>
        <v>5.6364617044228691</v>
      </c>
      <c r="N100" s="1">
        <f>225</f>
        <v>225</v>
      </c>
      <c r="O100" s="1">
        <f t="shared" si="14"/>
        <v>0.86685159500693476</v>
      </c>
      <c r="Q100" s="2">
        <v>1</v>
      </c>
    </row>
    <row r="101" spans="1:19" ht="9.75" customHeight="1" x14ac:dyDescent="0.15">
      <c r="A101" s="1">
        <v>8</v>
      </c>
      <c r="D101" s="15" t="s">
        <v>104</v>
      </c>
      <c r="E101" s="1">
        <f>F101+H101+J101+L101+N101</f>
        <v>33774</v>
      </c>
      <c r="F101" s="1">
        <v>17055</v>
      </c>
      <c r="G101" s="1">
        <f t="shared" si="10"/>
        <v>50.497424054006039</v>
      </c>
      <c r="H101" s="1">
        <v>2314</v>
      </c>
      <c r="I101" s="1">
        <f t="shared" si="11"/>
        <v>6.8514241724403391</v>
      </c>
      <c r="J101" s="1">
        <v>12909</v>
      </c>
      <c r="K101" s="1">
        <f t="shared" si="12"/>
        <v>38.221709006928407</v>
      </c>
      <c r="L101" s="1">
        <v>729</v>
      </c>
      <c r="M101" s="1">
        <f t="shared" si="13"/>
        <v>2.1584650914904957</v>
      </c>
      <c r="N101" s="1">
        <v>767</v>
      </c>
      <c r="O101" s="1">
        <f t="shared" si="14"/>
        <v>2.270977675134719</v>
      </c>
      <c r="Q101" s="2">
        <v>1</v>
      </c>
    </row>
    <row r="102" spans="1:19" ht="9.75" customHeight="1" x14ac:dyDescent="0.2">
      <c r="A102" s="29"/>
      <c r="B102" s="5">
        <v>31</v>
      </c>
      <c r="C102" s="5" t="s">
        <v>5</v>
      </c>
      <c r="D102" s="18" t="s">
        <v>105</v>
      </c>
      <c r="E102" s="12">
        <f>E100+E101</f>
        <v>59730</v>
      </c>
      <c r="F102" s="12">
        <f>F100+F101</f>
        <v>27661</v>
      </c>
      <c r="G102" s="12">
        <f t="shared" si="10"/>
        <v>46.310061945421062</v>
      </c>
      <c r="H102" s="12">
        <f>H100+H101</f>
        <v>9984</v>
      </c>
      <c r="I102" s="12">
        <f t="shared" si="11"/>
        <v>16.715218483174283</v>
      </c>
      <c r="J102" s="12">
        <f>J100+J101</f>
        <v>18901</v>
      </c>
      <c r="K102" s="12">
        <f t="shared" si="12"/>
        <v>31.644064958982085</v>
      </c>
      <c r="L102" s="12">
        <f>L100+L101</f>
        <v>2192</v>
      </c>
      <c r="M102" s="12">
        <f t="shared" si="13"/>
        <v>3.6698476477482003</v>
      </c>
      <c r="N102" s="12">
        <f>N100+N101</f>
        <v>992</v>
      </c>
      <c r="O102" s="12">
        <f t="shared" si="14"/>
        <v>1.6608069646743679</v>
      </c>
      <c r="P102" s="13"/>
    </row>
    <row r="103" spans="1:19" ht="9.75" customHeight="1" x14ac:dyDescent="0.15">
      <c r="A103" s="1">
        <v>6</v>
      </c>
      <c r="D103" s="20" t="s">
        <v>106</v>
      </c>
      <c r="E103" s="1">
        <f>F103+H103+J103+L103+N103</f>
        <v>42637</v>
      </c>
      <c r="F103" s="1">
        <v>12881</v>
      </c>
      <c r="G103" s="1">
        <f t="shared" si="10"/>
        <v>30.210849731453902</v>
      </c>
      <c r="H103" s="1">
        <v>7278</v>
      </c>
      <c r="I103" s="1">
        <f t="shared" si="11"/>
        <v>17.069681262753008</v>
      </c>
      <c r="J103" s="1">
        <v>19396</v>
      </c>
      <c r="K103" s="1">
        <f t="shared" si="12"/>
        <v>45.491005464737199</v>
      </c>
      <c r="L103" s="1">
        <v>2222</v>
      </c>
      <c r="M103" s="1">
        <f t="shared" si="13"/>
        <v>5.2114360766470433</v>
      </c>
      <c r="N103" s="1">
        <f>475+385</f>
        <v>860</v>
      </c>
      <c r="O103" s="1">
        <f t="shared" si="14"/>
        <v>2.0170274644088466</v>
      </c>
      <c r="S103" s="2">
        <v>1</v>
      </c>
    </row>
    <row r="104" spans="1:19" ht="9.75" customHeight="1" x14ac:dyDescent="0.15">
      <c r="A104" s="1">
        <v>82</v>
      </c>
      <c r="D104" s="20" t="s">
        <v>107</v>
      </c>
      <c r="E104" s="1">
        <f>F104+H104+J104+L104+N104</f>
        <v>28894</v>
      </c>
      <c r="F104" s="1">
        <v>8036</v>
      </c>
      <c r="G104" s="1">
        <f t="shared" si="10"/>
        <v>27.812002491866824</v>
      </c>
      <c r="H104" s="1">
        <v>6439</v>
      </c>
      <c r="I104" s="1">
        <f t="shared" si="11"/>
        <v>22.284903440160587</v>
      </c>
      <c r="J104" s="1">
        <v>11168</v>
      </c>
      <c r="K104" s="1">
        <f t="shared" si="12"/>
        <v>38.651623174361461</v>
      </c>
      <c r="L104" s="1">
        <v>2280</v>
      </c>
      <c r="M104" s="1">
        <f t="shared" si="13"/>
        <v>7.8909116079462862</v>
      </c>
      <c r="N104" s="1">
        <f>638+333</f>
        <v>971</v>
      </c>
      <c r="O104" s="1">
        <f t="shared" si="14"/>
        <v>3.3605592856648441</v>
      </c>
      <c r="S104" s="2">
        <v>1</v>
      </c>
    </row>
    <row r="105" spans="1:19" ht="9.75" customHeight="1" x14ac:dyDescent="0.15">
      <c r="B105" s="1">
        <v>32</v>
      </c>
      <c r="C105" s="1" t="s">
        <v>8</v>
      </c>
      <c r="D105" s="20" t="s">
        <v>108</v>
      </c>
      <c r="E105" s="16">
        <f>E103+E104</f>
        <v>71531</v>
      </c>
      <c r="F105" s="16">
        <f>F103+F104</f>
        <v>20917</v>
      </c>
      <c r="G105" s="16">
        <f t="shared" si="10"/>
        <v>29.24186716248899</v>
      </c>
      <c r="H105" s="16">
        <f>H103+H104</f>
        <v>13717</v>
      </c>
      <c r="I105" s="16">
        <f t="shared" si="11"/>
        <v>19.176301184101998</v>
      </c>
      <c r="J105" s="16">
        <f>J103+J104</f>
        <v>30564</v>
      </c>
      <c r="K105" s="16">
        <f t="shared" si="12"/>
        <v>42.728327578252788</v>
      </c>
      <c r="L105" s="16">
        <f>L103+L104</f>
        <v>4502</v>
      </c>
      <c r="M105" s="16">
        <f t="shared" si="13"/>
        <v>6.2937747270414226</v>
      </c>
      <c r="N105" s="16">
        <f>N103+N104</f>
        <v>1831</v>
      </c>
      <c r="O105" s="16">
        <f t="shared" si="14"/>
        <v>2.5597293481148036</v>
      </c>
    </row>
    <row r="106" spans="1:19" ht="9.75" customHeight="1" x14ac:dyDescent="0.15">
      <c r="A106" s="1">
        <v>33</v>
      </c>
      <c r="D106" s="20" t="s">
        <v>109</v>
      </c>
      <c r="E106" s="1">
        <f>F106+H106+J106+L106+N106</f>
        <v>34070</v>
      </c>
      <c r="F106" s="1">
        <v>8595</v>
      </c>
      <c r="G106" s="1">
        <f t="shared" si="10"/>
        <v>25.227472850014674</v>
      </c>
      <c r="H106" s="1">
        <v>8958</v>
      </c>
      <c r="I106" s="1">
        <f t="shared" si="11"/>
        <v>26.292926328147932</v>
      </c>
      <c r="J106" s="1">
        <v>13600</v>
      </c>
      <c r="K106" s="1">
        <f t="shared" si="12"/>
        <v>39.91781626063986</v>
      </c>
      <c r="L106" s="1">
        <v>2116</v>
      </c>
      <c r="M106" s="1">
        <f t="shared" si="13"/>
        <v>6.2107425887877898</v>
      </c>
      <c r="N106" s="1">
        <f>361+285+155</f>
        <v>801</v>
      </c>
      <c r="O106" s="1">
        <f t="shared" si="14"/>
        <v>2.3510419724097447</v>
      </c>
      <c r="S106" s="2">
        <v>1</v>
      </c>
    </row>
    <row r="107" spans="1:19" ht="9.75" customHeight="1" x14ac:dyDescent="0.15">
      <c r="A107" s="1">
        <v>51</v>
      </c>
      <c r="D107" s="20" t="s">
        <v>110</v>
      </c>
      <c r="E107" s="1">
        <f>F107+H107+J107+L107+N107</f>
        <v>37734</v>
      </c>
      <c r="F107" s="1">
        <v>8909</v>
      </c>
      <c r="G107" s="1">
        <f t="shared" si="10"/>
        <v>23.610006890337626</v>
      </c>
      <c r="H107" s="1">
        <v>11768</v>
      </c>
      <c r="I107" s="1">
        <f t="shared" si="11"/>
        <v>31.186728149679336</v>
      </c>
      <c r="J107" s="1">
        <v>13621</v>
      </c>
      <c r="K107" s="1">
        <f t="shared" si="12"/>
        <v>36.097418773519905</v>
      </c>
      <c r="L107" s="1">
        <v>2365</v>
      </c>
      <c r="M107" s="1">
        <f t="shared" si="13"/>
        <v>6.2675571102984042</v>
      </c>
      <c r="N107" s="1">
        <f>502+304+265</f>
        <v>1071</v>
      </c>
      <c r="O107" s="1">
        <f t="shared" si="14"/>
        <v>2.8382890761647319</v>
      </c>
      <c r="S107" s="2">
        <v>1</v>
      </c>
    </row>
    <row r="108" spans="1:19" ht="9.75" customHeight="1" x14ac:dyDescent="0.15">
      <c r="B108" s="1">
        <v>33</v>
      </c>
      <c r="C108" s="1" t="s">
        <v>8</v>
      </c>
      <c r="D108" s="20" t="s">
        <v>111</v>
      </c>
      <c r="E108" s="16">
        <f>E106+E107</f>
        <v>71804</v>
      </c>
      <c r="F108" s="16">
        <f>F106+F107</f>
        <v>17504</v>
      </c>
      <c r="G108" s="16">
        <f t="shared" si="10"/>
        <v>24.377472007130521</v>
      </c>
      <c r="H108" s="16">
        <f>H106+H107</f>
        <v>20726</v>
      </c>
      <c r="I108" s="16">
        <f t="shared" si="11"/>
        <v>28.864687204055485</v>
      </c>
      <c r="J108" s="16">
        <f>J106+J107</f>
        <v>27221</v>
      </c>
      <c r="K108" s="16">
        <f t="shared" si="12"/>
        <v>37.910144281655619</v>
      </c>
      <c r="L108" s="16">
        <f>L106+L107</f>
        <v>4481</v>
      </c>
      <c r="M108" s="16">
        <f t="shared" si="13"/>
        <v>6.2405994095036492</v>
      </c>
      <c r="N108" s="16">
        <f>N106+N107</f>
        <v>1872</v>
      </c>
      <c r="O108" s="16">
        <f t="shared" si="14"/>
        <v>2.607097097654727</v>
      </c>
    </row>
    <row r="109" spans="1:19" ht="9.75" customHeight="1" x14ac:dyDescent="0.15">
      <c r="A109" s="1">
        <v>92</v>
      </c>
      <c r="D109" s="17" t="s">
        <v>112</v>
      </c>
      <c r="E109" s="1">
        <f>F109+H109+J109+L109+N109</f>
        <v>29984</v>
      </c>
      <c r="F109" s="1">
        <v>7687</v>
      </c>
      <c r="G109" s="1">
        <f t="shared" si="10"/>
        <v>25.637006403415153</v>
      </c>
      <c r="H109" s="1">
        <v>11695</v>
      </c>
      <c r="I109" s="1">
        <f t="shared" si="11"/>
        <v>39.00413553895411</v>
      </c>
      <c r="J109" s="1">
        <v>8035</v>
      </c>
      <c r="K109" s="1">
        <f t="shared" si="12"/>
        <v>26.797625400213448</v>
      </c>
      <c r="L109" s="1">
        <v>1589</v>
      </c>
      <c r="M109" s="1">
        <f t="shared" si="13"/>
        <v>5.2994930629669152</v>
      </c>
      <c r="N109" s="1">
        <f>403+360+215</f>
        <v>978</v>
      </c>
      <c r="O109" s="1">
        <f t="shared" si="14"/>
        <v>3.2617395944503733</v>
      </c>
      <c r="R109" s="2">
        <v>1</v>
      </c>
    </row>
    <row r="110" spans="1:19" ht="9.75" customHeight="1" x14ac:dyDescent="0.15">
      <c r="A110" s="1">
        <v>103</v>
      </c>
      <c r="D110" s="20" t="s">
        <v>113</v>
      </c>
      <c r="E110" s="1">
        <f>F110+H110+J110+L110+N110</f>
        <v>40443</v>
      </c>
      <c r="F110" s="1">
        <v>11701</v>
      </c>
      <c r="G110" s="1">
        <f t="shared" si="10"/>
        <v>28.932077244516975</v>
      </c>
      <c r="H110" s="1">
        <v>12023</v>
      </c>
      <c r="I110" s="1">
        <f t="shared" si="11"/>
        <v>29.728259525752293</v>
      </c>
      <c r="J110" s="1">
        <v>13245</v>
      </c>
      <c r="K110" s="1">
        <f t="shared" si="12"/>
        <v>32.749796009198128</v>
      </c>
      <c r="L110" s="1">
        <v>2796</v>
      </c>
      <c r="M110" s="1">
        <f t="shared" si="13"/>
        <v>6.9134337215340107</v>
      </c>
      <c r="N110" s="1">
        <f>374+304</f>
        <v>678</v>
      </c>
      <c r="O110" s="1">
        <f t="shared" si="14"/>
        <v>1.6764334989985905</v>
      </c>
      <c r="S110" s="2">
        <v>1</v>
      </c>
    </row>
    <row r="111" spans="1:19" ht="9.75" customHeight="1" x14ac:dyDescent="0.15">
      <c r="A111" s="5"/>
      <c r="B111" s="5">
        <v>34</v>
      </c>
      <c r="C111" s="5" t="s">
        <v>7</v>
      </c>
      <c r="D111" s="19" t="s">
        <v>114</v>
      </c>
      <c r="E111" s="12">
        <f>E109+E110</f>
        <v>70427</v>
      </c>
      <c r="F111" s="12">
        <f>F109+F110</f>
        <v>19388</v>
      </c>
      <c r="G111" s="12">
        <f t="shared" si="10"/>
        <v>27.529214647791331</v>
      </c>
      <c r="H111" s="12">
        <f>H109+H110</f>
        <v>23718</v>
      </c>
      <c r="I111" s="12">
        <f t="shared" si="11"/>
        <v>33.677424851264426</v>
      </c>
      <c r="J111" s="12">
        <f>J109+J110</f>
        <v>21280</v>
      </c>
      <c r="K111" s="12">
        <f t="shared" si="12"/>
        <v>30.215684325613758</v>
      </c>
      <c r="L111" s="12">
        <f>L109+L110</f>
        <v>4385</v>
      </c>
      <c r="M111" s="12">
        <f t="shared" si="13"/>
        <v>6.2263052522470073</v>
      </c>
      <c r="N111" s="12">
        <f>N109+N110</f>
        <v>1656</v>
      </c>
      <c r="O111" s="12">
        <f t="shared" si="14"/>
        <v>2.3513709230834765</v>
      </c>
      <c r="P111" s="13"/>
    </row>
    <row r="112" spans="1:19" ht="9.75" customHeight="1" x14ac:dyDescent="0.15">
      <c r="A112" s="1">
        <v>101</v>
      </c>
      <c r="D112" s="15" t="s">
        <v>115</v>
      </c>
      <c r="E112" s="1">
        <f>F112+H112+J112+L112+N112</f>
        <v>38832</v>
      </c>
      <c r="F112" s="1">
        <v>15005</v>
      </c>
      <c r="G112" s="1">
        <f t="shared" si="10"/>
        <v>38.64081170168933</v>
      </c>
      <c r="H112" s="1">
        <v>12760</v>
      </c>
      <c r="I112" s="1">
        <f t="shared" si="11"/>
        <v>32.859497321796454</v>
      </c>
      <c r="J112" s="1">
        <v>6621</v>
      </c>
      <c r="K112" s="1">
        <f t="shared" si="12"/>
        <v>17.050370828182942</v>
      </c>
      <c r="L112" s="1">
        <v>3147</v>
      </c>
      <c r="M112" s="1">
        <f t="shared" si="13"/>
        <v>8.104140914709518</v>
      </c>
      <c r="N112" s="1">
        <f>479+292+265+181+82</f>
        <v>1299</v>
      </c>
      <c r="O112" s="1">
        <f t="shared" si="14"/>
        <v>3.3451792336217552</v>
      </c>
      <c r="Q112" s="2">
        <v>1</v>
      </c>
    </row>
    <row r="113" spans="1:19" ht="9.75" customHeight="1" x14ac:dyDescent="0.15">
      <c r="A113" s="1">
        <v>84</v>
      </c>
      <c r="D113" s="15" t="s">
        <v>116</v>
      </c>
      <c r="E113" s="1">
        <f>F113+H113+J113+L113+N113</f>
        <v>29613</v>
      </c>
      <c r="F113" s="1">
        <v>13055</v>
      </c>
      <c r="G113" s="1">
        <f t="shared" si="10"/>
        <v>44.085367912741027</v>
      </c>
      <c r="H113" s="1">
        <v>7767</v>
      </c>
      <c r="I113" s="1">
        <f t="shared" si="11"/>
        <v>26.228345659001114</v>
      </c>
      <c r="J113" s="1">
        <v>6227</v>
      </c>
      <c r="K113" s="1">
        <f t="shared" si="12"/>
        <v>21.027926923986087</v>
      </c>
      <c r="L113" s="1">
        <v>2291</v>
      </c>
      <c r="M113" s="1">
        <f t="shared" si="13"/>
        <v>7.7364670921554719</v>
      </c>
      <c r="N113" s="1">
        <v>273</v>
      </c>
      <c r="O113" s="1">
        <f t="shared" si="14"/>
        <v>0.92189241211630024</v>
      </c>
      <c r="Q113" s="2">
        <v>1</v>
      </c>
    </row>
    <row r="114" spans="1:19" ht="9.75" customHeight="1" x14ac:dyDescent="0.15">
      <c r="B114" s="1">
        <v>35</v>
      </c>
      <c r="C114" s="5" t="s">
        <v>5</v>
      </c>
      <c r="D114" s="15" t="s">
        <v>117</v>
      </c>
      <c r="E114" s="16">
        <f>E112+E113</f>
        <v>68445</v>
      </c>
      <c r="F114" s="16">
        <f>F112+F113</f>
        <v>28060</v>
      </c>
      <c r="G114" s="16">
        <f t="shared" si="10"/>
        <v>40.996420483599969</v>
      </c>
      <c r="H114" s="16">
        <f>H112+H113</f>
        <v>20527</v>
      </c>
      <c r="I114" s="16">
        <f t="shared" si="11"/>
        <v>29.990503323836656</v>
      </c>
      <c r="J114" s="16">
        <f>J112+J113</f>
        <v>12848</v>
      </c>
      <c r="K114" s="16">
        <f t="shared" si="12"/>
        <v>18.771276207173642</v>
      </c>
      <c r="L114" s="16">
        <f>L112+L113</f>
        <v>5438</v>
      </c>
      <c r="M114" s="16">
        <f t="shared" si="13"/>
        <v>7.9450653809628164</v>
      </c>
      <c r="N114" s="16">
        <f>N112+N113</f>
        <v>1572</v>
      </c>
      <c r="O114" s="16">
        <f t="shared" si="14"/>
        <v>2.2967346044269119</v>
      </c>
    </row>
    <row r="115" spans="1:19" ht="9.75" customHeight="1" x14ac:dyDescent="0.15">
      <c r="A115" s="1">
        <v>111</v>
      </c>
      <c r="D115" s="15" t="s">
        <v>118</v>
      </c>
      <c r="E115" s="1">
        <f>F115+H115+J115+L115+N115</f>
        <v>33942</v>
      </c>
      <c r="F115" s="1">
        <v>12375</v>
      </c>
      <c r="G115" s="1">
        <f t="shared" si="10"/>
        <v>36.459254021566203</v>
      </c>
      <c r="H115" s="1">
        <v>10495</v>
      </c>
      <c r="I115" s="1">
        <f t="shared" si="11"/>
        <v>30.920393612633315</v>
      </c>
      <c r="J115" s="1">
        <v>5672</v>
      </c>
      <c r="K115" s="1">
        <f t="shared" si="12"/>
        <v>16.710859701844324</v>
      </c>
      <c r="L115" s="1">
        <v>4393</v>
      </c>
      <c r="M115" s="1">
        <f t="shared" si="13"/>
        <v>12.942666902362854</v>
      </c>
      <c r="N115" s="1">
        <f>328+321+180+130+48</f>
        <v>1007</v>
      </c>
      <c r="O115" s="1">
        <f t="shared" si="14"/>
        <v>2.9668257615933062</v>
      </c>
      <c r="Q115" s="2">
        <v>1</v>
      </c>
    </row>
    <row r="116" spans="1:19" ht="9.75" customHeight="1" x14ac:dyDescent="0.15">
      <c r="A116" s="1">
        <v>93</v>
      </c>
      <c r="D116" s="15" t="s">
        <v>119</v>
      </c>
      <c r="E116" s="1">
        <f>F116+H116+J116+L116+N116</f>
        <v>41737</v>
      </c>
      <c r="F116" s="1">
        <v>17178</v>
      </c>
      <c r="G116" s="1">
        <f t="shared" si="10"/>
        <v>41.157725758918943</v>
      </c>
      <c r="H116" s="1">
        <v>11521</v>
      </c>
      <c r="I116" s="1">
        <f t="shared" si="11"/>
        <v>27.603804777535519</v>
      </c>
      <c r="J116" s="1">
        <v>9197</v>
      </c>
      <c r="K116" s="1">
        <f t="shared" si="12"/>
        <v>22.035603900615762</v>
      </c>
      <c r="L116" s="1">
        <v>2833</v>
      </c>
      <c r="M116" s="1">
        <f t="shared" si="13"/>
        <v>6.78774229101277</v>
      </c>
      <c r="N116" s="1">
        <f>563+236+209</f>
        <v>1008</v>
      </c>
      <c r="O116" s="1">
        <f t="shared" si="14"/>
        <v>2.4151232719170039</v>
      </c>
      <c r="Q116" s="2">
        <v>1</v>
      </c>
    </row>
    <row r="117" spans="1:19" ht="9.75" customHeight="1" x14ac:dyDescent="0.15">
      <c r="B117" s="1">
        <v>36</v>
      </c>
      <c r="C117" s="5" t="s">
        <v>5</v>
      </c>
      <c r="D117" s="15" t="s">
        <v>120</v>
      </c>
      <c r="E117" s="16">
        <f>E115+E116</f>
        <v>75679</v>
      </c>
      <c r="F117" s="16">
        <f>F115+F116</f>
        <v>29553</v>
      </c>
      <c r="G117" s="16">
        <f t="shared" si="10"/>
        <v>39.050463140369189</v>
      </c>
      <c r="H117" s="16">
        <f>H115+H116</f>
        <v>22016</v>
      </c>
      <c r="I117" s="16">
        <f t="shared" si="11"/>
        <v>29.09129348960742</v>
      </c>
      <c r="J117" s="16">
        <f>J115+J116</f>
        <v>14869</v>
      </c>
      <c r="K117" s="16">
        <f t="shared" si="12"/>
        <v>19.647458343794185</v>
      </c>
      <c r="L117" s="16">
        <f>L115+L116</f>
        <v>7226</v>
      </c>
      <c r="M117" s="16">
        <f t="shared" si="13"/>
        <v>9.5482234173284528</v>
      </c>
      <c r="N117" s="16">
        <f>N115+N116</f>
        <v>2015</v>
      </c>
      <c r="O117" s="16">
        <f t="shared" si="14"/>
        <v>2.6625616089007518</v>
      </c>
    </row>
    <row r="118" spans="1:19" ht="9.75" customHeight="1" x14ac:dyDescent="0.15">
      <c r="A118" s="1">
        <v>18</v>
      </c>
      <c r="D118" s="15" t="s">
        <v>121</v>
      </c>
      <c r="E118" s="1">
        <f>F118+H118+J118+L118+N118</f>
        <v>40993</v>
      </c>
      <c r="F118" s="1">
        <v>18271</v>
      </c>
      <c r="G118" s="1">
        <f t="shared" si="10"/>
        <v>44.571024321225572</v>
      </c>
      <c r="H118" s="1">
        <v>8358</v>
      </c>
      <c r="I118" s="1">
        <f t="shared" si="11"/>
        <v>20.388846876295954</v>
      </c>
      <c r="J118" s="1">
        <v>11375</v>
      </c>
      <c r="K118" s="1">
        <f t="shared" si="12"/>
        <v>27.748640011709316</v>
      </c>
      <c r="L118" s="1">
        <v>2791</v>
      </c>
      <c r="M118" s="1">
        <f t="shared" si="13"/>
        <v>6.8084794964994027</v>
      </c>
      <c r="N118" s="1">
        <v>198</v>
      </c>
      <c r="O118" s="1">
        <f t="shared" si="14"/>
        <v>0.48300929426975336</v>
      </c>
      <c r="Q118" s="2">
        <v>1</v>
      </c>
    </row>
    <row r="119" spans="1:19" ht="9.75" customHeight="1" x14ac:dyDescent="0.15">
      <c r="A119" s="1">
        <v>40</v>
      </c>
      <c r="D119" s="20" t="s">
        <v>122</v>
      </c>
      <c r="E119" s="1">
        <f>F119+H119+J119+L119+N119</f>
        <v>34765</v>
      </c>
      <c r="F119" s="1">
        <v>6669</v>
      </c>
      <c r="G119" s="1">
        <f t="shared" si="10"/>
        <v>19.18308643750899</v>
      </c>
      <c r="H119" s="1">
        <v>7630</v>
      </c>
      <c r="I119" s="1">
        <f t="shared" si="11"/>
        <v>21.947360851431036</v>
      </c>
      <c r="J119" s="1">
        <v>18441</v>
      </c>
      <c r="K119" s="1">
        <f t="shared" si="12"/>
        <v>53.044728894002589</v>
      </c>
      <c r="L119" s="1">
        <v>1565</v>
      </c>
      <c r="M119" s="1">
        <f t="shared" si="13"/>
        <v>4.5016539623184233</v>
      </c>
      <c r="N119" s="1">
        <f>281+179</f>
        <v>460</v>
      </c>
      <c r="O119" s="1">
        <f t="shared" si="14"/>
        <v>1.3231698547389616</v>
      </c>
      <c r="S119" s="2">
        <v>1</v>
      </c>
    </row>
    <row r="120" spans="1:19" ht="9.75" customHeight="1" x14ac:dyDescent="0.2">
      <c r="A120" s="29"/>
      <c r="B120" s="5">
        <v>37</v>
      </c>
      <c r="C120" s="5" t="s">
        <v>8</v>
      </c>
      <c r="D120" s="30" t="s">
        <v>123</v>
      </c>
      <c r="E120" s="12">
        <f>E118+E119</f>
        <v>75758</v>
      </c>
      <c r="F120" s="12">
        <f>F118+F119</f>
        <v>24940</v>
      </c>
      <c r="G120" s="12">
        <f t="shared" si="10"/>
        <v>32.920615644552392</v>
      </c>
      <c r="H120" s="12">
        <f>H118+H119</f>
        <v>15988</v>
      </c>
      <c r="I120" s="12">
        <f t="shared" si="11"/>
        <v>21.104041817365822</v>
      </c>
      <c r="J120" s="12">
        <f>J118+J119</f>
        <v>29816</v>
      </c>
      <c r="K120" s="12">
        <f t="shared" si="12"/>
        <v>39.35689960136223</v>
      </c>
      <c r="L120" s="12">
        <f>L118+L119</f>
        <v>4356</v>
      </c>
      <c r="M120" s="12">
        <f t="shared" si="13"/>
        <v>5.7498878006283167</v>
      </c>
      <c r="N120" s="12">
        <f>N118+N119</f>
        <v>658</v>
      </c>
      <c r="O120" s="12">
        <f t="shared" si="14"/>
        <v>0.86855513609123791</v>
      </c>
      <c r="P120" s="13"/>
    </row>
    <row r="121" spans="1:19" ht="9.75" customHeight="1" x14ac:dyDescent="0.15">
      <c r="A121" s="1">
        <v>15</v>
      </c>
      <c r="D121" s="20" t="s">
        <v>124</v>
      </c>
      <c r="E121" s="1">
        <f>F121+H121+J121+L121+N121</f>
        <v>42792</v>
      </c>
      <c r="F121" s="16">
        <v>9944</v>
      </c>
      <c r="G121" s="1">
        <f t="shared" si="10"/>
        <v>23.23798840904842</v>
      </c>
      <c r="H121" s="16">
        <v>14232</v>
      </c>
      <c r="I121" s="1">
        <f t="shared" si="11"/>
        <v>33.258553000560852</v>
      </c>
      <c r="J121" s="16">
        <v>14331</v>
      </c>
      <c r="K121" s="1">
        <f t="shared" si="12"/>
        <v>33.489904655075712</v>
      </c>
      <c r="L121" s="16">
        <v>3688</v>
      </c>
      <c r="M121" s="1">
        <f t="shared" si="13"/>
        <v>8.6184333520284166</v>
      </c>
      <c r="N121" s="16">
        <f>246+225+126</f>
        <v>597</v>
      </c>
      <c r="O121" s="1">
        <f t="shared" si="14"/>
        <v>1.3951205832865956</v>
      </c>
      <c r="S121" s="2">
        <v>1</v>
      </c>
    </row>
    <row r="122" spans="1:19" ht="9.75" customHeight="1" x14ac:dyDescent="0.15">
      <c r="A122" s="1">
        <v>121</v>
      </c>
      <c r="D122" s="17" t="s">
        <v>125</v>
      </c>
      <c r="E122" s="1">
        <f>F122+H122+J122+L122+N122</f>
        <v>43363</v>
      </c>
      <c r="F122" s="1">
        <v>8212</v>
      </c>
      <c r="G122" s="1">
        <f t="shared" ref="G122:G144" si="15">F122*100/$E122</f>
        <v>18.937804118718724</v>
      </c>
      <c r="H122" s="1">
        <v>18467</v>
      </c>
      <c r="I122" s="1">
        <f t="shared" ref="I122:I144" si="16">H122*100/$E122</f>
        <v>42.586998132048059</v>
      </c>
      <c r="J122" s="1">
        <v>13160</v>
      </c>
      <c r="K122" s="1">
        <f t="shared" ref="K122:K144" si="17">J122*100/$E122</f>
        <v>30.348453750893619</v>
      </c>
      <c r="L122" s="1">
        <v>3074</v>
      </c>
      <c r="M122" s="1">
        <f t="shared" ref="M122:M144" si="18">L122*100/$E122</f>
        <v>7.0889929202315338</v>
      </c>
      <c r="N122" s="1">
        <v>450</v>
      </c>
      <c r="O122" s="1">
        <f t="shared" si="14"/>
        <v>1.0377510781080646</v>
      </c>
      <c r="R122" s="2">
        <v>1</v>
      </c>
    </row>
    <row r="123" spans="1:19" ht="9.75" customHeight="1" x14ac:dyDescent="0.15">
      <c r="B123" s="1">
        <v>38</v>
      </c>
      <c r="C123" s="1" t="s">
        <v>7</v>
      </c>
      <c r="D123" s="17" t="s">
        <v>126</v>
      </c>
      <c r="E123" s="16">
        <f>E121+E122</f>
        <v>86155</v>
      </c>
      <c r="F123" s="16">
        <f>F121+F122</f>
        <v>18156</v>
      </c>
      <c r="G123" s="16">
        <f t="shared" si="15"/>
        <v>21.073646335093727</v>
      </c>
      <c r="H123" s="16">
        <f>H121+H122</f>
        <v>32699</v>
      </c>
      <c r="I123" s="16">
        <f t="shared" si="16"/>
        <v>37.953688120248387</v>
      </c>
      <c r="J123" s="16">
        <f>J121+J122</f>
        <v>27491</v>
      </c>
      <c r="K123" s="16">
        <f t="shared" si="17"/>
        <v>31.90876907898555</v>
      </c>
      <c r="L123" s="16">
        <f>L121+L122</f>
        <v>6762</v>
      </c>
      <c r="M123" s="16">
        <f t="shared" si="18"/>
        <v>7.8486448842203007</v>
      </c>
      <c r="N123" s="16">
        <f>N121+N122</f>
        <v>1047</v>
      </c>
      <c r="O123" s="16">
        <f t="shared" si="14"/>
        <v>1.2152515814520342</v>
      </c>
    </row>
    <row r="124" spans="1:19" ht="9.75" customHeight="1" x14ac:dyDescent="0.2">
      <c r="A124" s="1">
        <v>78</v>
      </c>
      <c r="C124"/>
      <c r="D124" s="20" t="s">
        <v>127</v>
      </c>
      <c r="E124" s="1">
        <f>F124+H124+J124+L124+N124</f>
        <v>42791</v>
      </c>
      <c r="F124" s="1">
        <v>13392</v>
      </c>
      <c r="G124" s="1">
        <f t="shared" si="15"/>
        <v>31.296300623962981</v>
      </c>
      <c r="H124" s="1">
        <v>11265</v>
      </c>
      <c r="I124" s="1">
        <f t="shared" si="16"/>
        <v>26.325629221097895</v>
      </c>
      <c r="J124" s="1">
        <v>14988</v>
      </c>
      <c r="K124" s="1">
        <f t="shared" si="17"/>
        <v>35.026056881119864</v>
      </c>
      <c r="L124" s="1">
        <v>2845</v>
      </c>
      <c r="M124" s="1">
        <f t="shared" si="18"/>
        <v>6.648594330583534</v>
      </c>
      <c r="N124" s="1">
        <v>301</v>
      </c>
      <c r="O124" s="1">
        <f t="shared" si="14"/>
        <v>0.70341894323572718</v>
      </c>
      <c r="S124" s="2">
        <v>1</v>
      </c>
    </row>
    <row r="125" spans="1:19" ht="9.75" customHeight="1" x14ac:dyDescent="0.15">
      <c r="A125" s="1">
        <v>118</v>
      </c>
      <c r="D125" s="17" t="s">
        <v>128</v>
      </c>
      <c r="E125" s="1">
        <f>F125+H125+J125+L125+N125</f>
        <v>34258</v>
      </c>
      <c r="F125" s="1">
        <v>11809</v>
      </c>
      <c r="G125" s="1">
        <f t="shared" si="15"/>
        <v>34.470780547609316</v>
      </c>
      <c r="H125" s="1">
        <v>11983</v>
      </c>
      <c r="I125" s="1">
        <f t="shared" si="16"/>
        <v>34.978691108646153</v>
      </c>
      <c r="J125" s="1">
        <v>9164</v>
      </c>
      <c r="K125" s="1">
        <f t="shared" si="17"/>
        <v>26.749956214606808</v>
      </c>
      <c r="L125" s="1">
        <f>371+280</f>
        <v>651</v>
      </c>
      <c r="M125" s="1">
        <f t="shared" si="18"/>
        <v>1.9002860645688597</v>
      </c>
      <c r="N125" s="1">
        <f>371+280</f>
        <v>651</v>
      </c>
      <c r="O125" s="1">
        <f t="shared" si="14"/>
        <v>1.9002860645688597</v>
      </c>
      <c r="R125" s="2">
        <v>1</v>
      </c>
    </row>
    <row r="126" spans="1:19" ht="9.75" customHeight="1" x14ac:dyDescent="0.15">
      <c r="B126" s="1">
        <v>39</v>
      </c>
      <c r="C126" s="5" t="s">
        <v>5</v>
      </c>
      <c r="D126" s="15" t="s">
        <v>129</v>
      </c>
      <c r="E126" s="16">
        <f>E124+E125</f>
        <v>77049</v>
      </c>
      <c r="F126" s="16">
        <f>F124+F125</f>
        <v>25201</v>
      </c>
      <c r="G126" s="16">
        <f t="shared" si="15"/>
        <v>32.707757401134344</v>
      </c>
      <c r="H126" s="16">
        <f>H124+H125</f>
        <v>23248</v>
      </c>
      <c r="I126" s="16">
        <f t="shared" si="16"/>
        <v>30.173006787888227</v>
      </c>
      <c r="J126" s="16">
        <f>J124+J125</f>
        <v>24152</v>
      </c>
      <c r="K126" s="16">
        <f t="shared" si="17"/>
        <v>31.346286129605836</v>
      </c>
      <c r="L126" s="16">
        <f>L124+L125</f>
        <v>3496</v>
      </c>
      <c r="M126" s="16">
        <f t="shared" si="18"/>
        <v>4.5373723215096886</v>
      </c>
      <c r="N126" s="16">
        <f>N124+N125</f>
        <v>952</v>
      </c>
      <c r="O126" s="16">
        <f t="shared" si="14"/>
        <v>1.235577359861906</v>
      </c>
    </row>
    <row r="127" spans="1:19" ht="9.75" customHeight="1" x14ac:dyDescent="0.15">
      <c r="A127" s="1">
        <v>113</v>
      </c>
      <c r="D127" s="17" t="s">
        <v>130</v>
      </c>
      <c r="E127" s="1">
        <f>F127+H127+J127+L127+N125</f>
        <v>36273</v>
      </c>
      <c r="F127" s="1">
        <v>10776</v>
      </c>
      <c r="G127" s="1">
        <f t="shared" si="15"/>
        <v>29.708047307914978</v>
      </c>
      <c r="H127" s="1">
        <v>12146</v>
      </c>
      <c r="I127" s="1">
        <f t="shared" si="16"/>
        <v>33.484961265955391</v>
      </c>
      <c r="J127" s="1">
        <v>8704</v>
      </c>
      <c r="K127" s="1">
        <f t="shared" si="17"/>
        <v>23.995809555316626</v>
      </c>
      <c r="L127" s="1">
        <v>3996</v>
      </c>
      <c r="M127" s="1">
        <f t="shared" si="18"/>
        <v>11.016458522868248</v>
      </c>
      <c r="N127" s="1">
        <v>369</v>
      </c>
      <c r="O127" s="1">
        <f>N125*100/$E127</f>
        <v>1.7947233479447522</v>
      </c>
      <c r="R127" s="2">
        <v>1</v>
      </c>
    </row>
    <row r="128" spans="1:19" ht="9.75" customHeight="1" x14ac:dyDescent="0.15">
      <c r="A128" s="1">
        <v>69</v>
      </c>
      <c r="D128" s="17" t="s">
        <v>131</v>
      </c>
      <c r="E128" s="1">
        <f>F128+H128+J128+L128+N130</f>
        <v>30231</v>
      </c>
      <c r="F128" s="1">
        <v>7921</v>
      </c>
      <c r="G128" s="1">
        <f t="shared" si="15"/>
        <v>26.20158115841355</v>
      </c>
      <c r="H128" s="1">
        <v>11612</v>
      </c>
      <c r="I128" s="1">
        <f t="shared" si="16"/>
        <v>38.410902715755348</v>
      </c>
      <c r="J128" s="1">
        <v>6269</v>
      </c>
      <c r="K128" s="1">
        <f t="shared" si="17"/>
        <v>20.736991829578908</v>
      </c>
      <c r="L128" s="1">
        <v>3518</v>
      </c>
      <c r="M128" s="1">
        <f t="shared" si="18"/>
        <v>11.637061294697496</v>
      </c>
      <c r="N128" s="1">
        <f>707+244+107+44</f>
        <v>1102</v>
      </c>
      <c r="O128" s="1">
        <f t="shared" ref="O128:O144" si="19">N128*100/$E128</f>
        <v>3.6452647944163274</v>
      </c>
      <c r="R128" s="2">
        <v>1</v>
      </c>
    </row>
    <row r="129" spans="1:19" ht="9.75" customHeight="1" x14ac:dyDescent="0.15">
      <c r="A129" s="5"/>
      <c r="B129" s="5">
        <v>40</v>
      </c>
      <c r="C129" s="5" t="s">
        <v>7</v>
      </c>
      <c r="D129" s="19" t="s">
        <v>132</v>
      </c>
      <c r="E129" s="12">
        <f>E127+E128</f>
        <v>66504</v>
      </c>
      <c r="F129" s="12">
        <f>F127+F128</f>
        <v>18697</v>
      </c>
      <c r="G129" s="12">
        <f t="shared" si="15"/>
        <v>28.114098400096236</v>
      </c>
      <c r="H129" s="12">
        <f>H127+H128</f>
        <v>23758</v>
      </c>
      <c r="I129" s="12">
        <f t="shared" si="16"/>
        <v>35.724166967400457</v>
      </c>
      <c r="J129" s="12">
        <f>J127+J128</f>
        <v>14973</v>
      </c>
      <c r="K129" s="12">
        <f t="shared" si="17"/>
        <v>22.514435221941536</v>
      </c>
      <c r="L129" s="12">
        <f>L127+L128</f>
        <v>7514</v>
      </c>
      <c r="M129" s="12">
        <f t="shared" si="18"/>
        <v>11.298568507157464</v>
      </c>
      <c r="N129" s="12">
        <f>N127+N128</f>
        <v>1471</v>
      </c>
      <c r="O129" s="12">
        <f t="shared" si="19"/>
        <v>2.2118970287501503</v>
      </c>
      <c r="P129" s="13"/>
    </row>
    <row r="130" spans="1:19" ht="9.75" customHeight="1" x14ac:dyDescent="0.15">
      <c r="A130" s="1">
        <v>59</v>
      </c>
      <c r="D130" s="15" t="s">
        <v>133</v>
      </c>
      <c r="E130" s="1">
        <f>F130+H130+J130+L130+N130</f>
        <v>33165</v>
      </c>
      <c r="F130" s="1">
        <v>15804</v>
      </c>
      <c r="G130" s="1">
        <f t="shared" si="15"/>
        <v>47.652645861601087</v>
      </c>
      <c r="H130" s="1">
        <v>8001</v>
      </c>
      <c r="I130" s="1">
        <f t="shared" si="16"/>
        <v>24.124830393487109</v>
      </c>
      <c r="J130" s="1">
        <v>5919</v>
      </c>
      <c r="K130" s="1">
        <f t="shared" si="17"/>
        <v>17.847127996381726</v>
      </c>
      <c r="L130" s="1">
        <v>2530</v>
      </c>
      <c r="M130" s="1">
        <f t="shared" si="18"/>
        <v>7.6285240464344941</v>
      </c>
      <c r="N130" s="1">
        <f>573+182+156</f>
        <v>911</v>
      </c>
      <c r="O130" s="1">
        <f t="shared" si="19"/>
        <v>2.7468717020955826</v>
      </c>
      <c r="Q130" s="2">
        <v>1</v>
      </c>
    </row>
    <row r="131" spans="1:19" ht="9.75" customHeight="1" x14ac:dyDescent="0.15">
      <c r="A131" s="1">
        <v>58</v>
      </c>
      <c r="D131" s="15" t="s">
        <v>134</v>
      </c>
      <c r="E131" s="1">
        <f>F131+H131+J131+L131+N136</f>
        <v>33702</v>
      </c>
      <c r="F131" s="1">
        <v>25955</v>
      </c>
      <c r="G131" s="1">
        <f t="shared" si="15"/>
        <v>77.013233635985998</v>
      </c>
      <c r="H131" s="1">
        <v>0</v>
      </c>
      <c r="I131" s="1">
        <f t="shared" si="16"/>
        <v>0</v>
      </c>
      <c r="J131" s="1">
        <v>5600</v>
      </c>
      <c r="K131" s="1">
        <f t="shared" si="17"/>
        <v>16.616224556406149</v>
      </c>
      <c r="L131" s="1">
        <v>1728</v>
      </c>
      <c r="M131" s="1">
        <f t="shared" si="18"/>
        <v>5.1272921488338969</v>
      </c>
      <c r="N131" s="1">
        <f>10452+534+256</f>
        <v>11242</v>
      </c>
      <c r="O131" s="1">
        <f t="shared" si="19"/>
        <v>33.35707079698534</v>
      </c>
      <c r="Q131" s="2">
        <v>1</v>
      </c>
    </row>
    <row r="132" spans="1:19" ht="9.75" customHeight="1" x14ac:dyDescent="0.15">
      <c r="B132" s="1">
        <v>41</v>
      </c>
      <c r="C132" s="5" t="s">
        <v>5</v>
      </c>
      <c r="D132" s="15" t="s">
        <v>135</v>
      </c>
      <c r="E132" s="16">
        <f>E130+E131</f>
        <v>66867</v>
      </c>
      <c r="F132" s="16">
        <f>F130+F131</f>
        <v>41759</v>
      </c>
      <c r="G132" s="16">
        <f t="shared" si="15"/>
        <v>62.450835240103487</v>
      </c>
      <c r="H132" s="16">
        <f>H130+H131</f>
        <v>8001</v>
      </c>
      <c r="I132" s="16">
        <f t="shared" si="16"/>
        <v>11.96554354165732</v>
      </c>
      <c r="J132" s="16">
        <f>J130+J131</f>
        <v>11519</v>
      </c>
      <c r="K132" s="16">
        <f t="shared" si="17"/>
        <v>17.226733665335665</v>
      </c>
      <c r="L132" s="16">
        <f>L130+L131</f>
        <v>4258</v>
      </c>
      <c r="M132" s="16">
        <f t="shared" si="18"/>
        <v>6.3678645669762366</v>
      </c>
      <c r="N132" s="16">
        <f>N130+N131</f>
        <v>12153</v>
      </c>
      <c r="O132" s="16">
        <f t="shared" si="19"/>
        <v>18.174884472161157</v>
      </c>
    </row>
    <row r="133" spans="1:19" ht="9.75" customHeight="1" x14ac:dyDescent="0.15">
      <c r="A133" s="1">
        <v>19</v>
      </c>
      <c r="D133" s="20" t="s">
        <v>136</v>
      </c>
      <c r="E133" s="1">
        <f>F133+H133+J133+L133+N133</f>
        <v>35427</v>
      </c>
      <c r="F133" s="1">
        <v>7869</v>
      </c>
      <c r="G133" s="1">
        <f t="shared" si="15"/>
        <v>22.211872300787533</v>
      </c>
      <c r="H133" s="1">
        <v>11722</v>
      </c>
      <c r="I133" s="1">
        <f t="shared" si="16"/>
        <v>33.087757924746661</v>
      </c>
      <c r="J133" s="1">
        <v>12130</v>
      </c>
      <c r="K133" s="1">
        <f t="shared" si="17"/>
        <v>34.239421909842775</v>
      </c>
      <c r="L133" s="1">
        <v>2618</v>
      </c>
      <c r="M133" s="1">
        <f t="shared" si="18"/>
        <v>7.3898439043667263</v>
      </c>
      <c r="N133" s="1">
        <f>392+353+200+143</f>
        <v>1088</v>
      </c>
      <c r="O133" s="1">
        <f t="shared" si="19"/>
        <v>3.0711039602563015</v>
      </c>
      <c r="S133" s="2">
        <v>1</v>
      </c>
    </row>
    <row r="134" spans="1:19" ht="9.75" customHeight="1" x14ac:dyDescent="0.15">
      <c r="A134" s="1">
        <v>104</v>
      </c>
      <c r="D134" s="17" t="s">
        <v>137</v>
      </c>
      <c r="E134" s="1">
        <f>F134+H134+J134+L134+N134</f>
        <v>41595</v>
      </c>
      <c r="F134" s="1">
        <v>11845</v>
      </c>
      <c r="G134" s="1">
        <f t="shared" si="15"/>
        <v>28.476980406298836</v>
      </c>
      <c r="H134" s="1">
        <v>13456</v>
      </c>
      <c r="I134" s="1">
        <f t="shared" si="16"/>
        <v>32.350042072364467</v>
      </c>
      <c r="J134" s="1">
        <v>12922</v>
      </c>
      <c r="K134" s="1">
        <f t="shared" si="17"/>
        <v>31.066233922346434</v>
      </c>
      <c r="L134" s="1">
        <v>2693</v>
      </c>
      <c r="M134" s="1">
        <f t="shared" si="18"/>
        <v>6.474335857675201</v>
      </c>
      <c r="N134" s="1">
        <f>386+293</f>
        <v>679</v>
      </c>
      <c r="O134" s="1">
        <f t="shared" si="19"/>
        <v>1.6324077413150619</v>
      </c>
      <c r="R134" s="2">
        <v>1</v>
      </c>
    </row>
    <row r="135" spans="1:19" ht="9.75" customHeight="1" x14ac:dyDescent="0.15">
      <c r="A135" s="5"/>
      <c r="B135" s="5">
        <v>42</v>
      </c>
      <c r="C135" s="5" t="s">
        <v>7</v>
      </c>
      <c r="D135" s="19" t="s">
        <v>138</v>
      </c>
      <c r="E135" s="12">
        <f>E133+E134</f>
        <v>77022</v>
      </c>
      <c r="F135" s="12">
        <f>F133+F134</f>
        <v>19714</v>
      </c>
      <c r="G135" s="12">
        <f t="shared" si="15"/>
        <v>25.595284464179066</v>
      </c>
      <c r="H135" s="12">
        <f>H133+H134</f>
        <v>25178</v>
      </c>
      <c r="I135" s="12">
        <f t="shared" si="16"/>
        <v>32.689361481135258</v>
      </c>
      <c r="J135" s="12">
        <f>J133+J134</f>
        <v>25052</v>
      </c>
      <c r="K135" s="12">
        <f t="shared" si="17"/>
        <v>32.525771857391398</v>
      </c>
      <c r="L135" s="12">
        <f>L133+L134</f>
        <v>5311</v>
      </c>
      <c r="M135" s="12">
        <f t="shared" si="18"/>
        <v>6.8954324738386434</v>
      </c>
      <c r="N135" s="12">
        <f>N133+N134</f>
        <v>1767</v>
      </c>
      <c r="O135" s="12">
        <f t="shared" si="19"/>
        <v>2.2941497234556358</v>
      </c>
      <c r="P135" s="13"/>
    </row>
    <row r="136" spans="1:19" ht="9.75" customHeight="1" x14ac:dyDescent="0.15">
      <c r="A136" s="1">
        <v>60</v>
      </c>
      <c r="D136" s="15" t="s">
        <v>139</v>
      </c>
      <c r="E136" s="1">
        <f>F136+H136+J136+L136+N136</f>
        <v>32725</v>
      </c>
      <c r="F136" s="1">
        <v>11112</v>
      </c>
      <c r="G136" s="1">
        <f t="shared" si="15"/>
        <v>33.955691367456076</v>
      </c>
      <c r="H136" s="1">
        <v>8571</v>
      </c>
      <c r="I136" s="1">
        <f t="shared" si="16"/>
        <v>26.190985485103131</v>
      </c>
      <c r="J136" s="1">
        <v>10685</v>
      </c>
      <c r="K136" s="1">
        <f t="shared" si="17"/>
        <v>32.650878533231477</v>
      </c>
      <c r="L136" s="1">
        <v>1938</v>
      </c>
      <c r="M136" s="1">
        <f t="shared" si="18"/>
        <v>5.9220779220779223</v>
      </c>
      <c r="N136" s="1">
        <f>172+162+85</f>
        <v>419</v>
      </c>
      <c r="O136" s="1">
        <f t="shared" si="19"/>
        <v>1.2803666921313981</v>
      </c>
      <c r="Q136" s="2">
        <v>1</v>
      </c>
    </row>
    <row r="137" spans="1:19" ht="9.75" customHeight="1" x14ac:dyDescent="0.15">
      <c r="A137" s="22">
        <v>110</v>
      </c>
      <c r="B137" s="22"/>
      <c r="C137" s="22"/>
      <c r="D137" s="24" t="s">
        <v>140</v>
      </c>
      <c r="E137" s="22">
        <f>F137+H137+J137+L137+N139</f>
        <v>28263</v>
      </c>
      <c r="F137" s="22">
        <v>7158</v>
      </c>
      <c r="G137" s="22">
        <f t="shared" si="15"/>
        <v>25.326398471499839</v>
      </c>
      <c r="H137" s="22">
        <v>9940</v>
      </c>
      <c r="I137" s="22">
        <f t="shared" si="16"/>
        <v>35.169656441283657</v>
      </c>
      <c r="J137" s="22">
        <v>9054</v>
      </c>
      <c r="K137" s="22">
        <f t="shared" si="17"/>
        <v>32.034815836959986</v>
      </c>
      <c r="L137" s="22">
        <v>1575</v>
      </c>
      <c r="M137" s="22">
        <f t="shared" si="18"/>
        <v>5.5726568304850863</v>
      </c>
      <c r="N137" s="22">
        <f>258+232+113</f>
        <v>603</v>
      </c>
      <c r="O137" s="22">
        <f t="shared" si="19"/>
        <v>2.1335314722428618</v>
      </c>
      <c r="P137" s="31"/>
      <c r="R137" s="2">
        <v>1</v>
      </c>
    </row>
    <row r="138" spans="1:19" ht="9.75" customHeight="1" x14ac:dyDescent="0.15">
      <c r="B138" s="1">
        <v>43</v>
      </c>
      <c r="C138" s="1" t="s">
        <v>8</v>
      </c>
      <c r="D138" s="20" t="s">
        <v>141</v>
      </c>
      <c r="E138" s="16">
        <f>E136+E137</f>
        <v>60988</v>
      </c>
      <c r="F138" s="16">
        <f>F136+F137</f>
        <v>18270</v>
      </c>
      <c r="G138" s="16">
        <f t="shared" si="15"/>
        <v>29.956712795959859</v>
      </c>
      <c r="H138" s="16">
        <f>H136+H137</f>
        <v>18511</v>
      </c>
      <c r="I138" s="16">
        <f t="shared" si="16"/>
        <v>30.351872499508101</v>
      </c>
      <c r="J138" s="16">
        <f>J136+J137</f>
        <v>19739</v>
      </c>
      <c r="K138" s="16">
        <f t="shared" si="17"/>
        <v>32.365383354102448</v>
      </c>
      <c r="L138" s="16">
        <f>L136+L137</f>
        <v>3513</v>
      </c>
      <c r="M138" s="16">
        <f t="shared" si="18"/>
        <v>5.7601495376139571</v>
      </c>
      <c r="N138" s="16">
        <f>N136+N137</f>
        <v>1022</v>
      </c>
      <c r="O138" s="16">
        <f t="shared" si="19"/>
        <v>1.6757394897356857</v>
      </c>
    </row>
    <row r="139" spans="1:19" ht="9.75" customHeight="1" x14ac:dyDescent="0.15">
      <c r="A139" s="1">
        <v>24</v>
      </c>
      <c r="D139" s="15" t="s">
        <v>142</v>
      </c>
      <c r="E139" s="1">
        <f>F139+H139+J139+L139+N139</f>
        <v>36044</v>
      </c>
      <c r="F139" s="1">
        <v>17901</v>
      </c>
      <c r="G139" s="1">
        <f t="shared" si="15"/>
        <v>49.664299189879038</v>
      </c>
      <c r="H139" s="1">
        <v>8257</v>
      </c>
      <c r="I139" s="1">
        <f t="shared" si="16"/>
        <v>22.908112307180112</v>
      </c>
      <c r="J139" s="1">
        <v>7291</v>
      </c>
      <c r="K139" s="1">
        <f t="shared" si="17"/>
        <v>20.228054599933415</v>
      </c>
      <c r="L139" s="1">
        <v>2059</v>
      </c>
      <c r="M139" s="1">
        <f t="shared" si="18"/>
        <v>5.7124625457773828</v>
      </c>
      <c r="N139" s="1">
        <f>199+174+105+58</f>
        <v>536</v>
      </c>
      <c r="O139" s="1">
        <f t="shared" si="19"/>
        <v>1.4870713572300522</v>
      </c>
      <c r="Q139" s="2">
        <v>1</v>
      </c>
    </row>
    <row r="140" spans="1:19" ht="9.75" customHeight="1" x14ac:dyDescent="0.15">
      <c r="A140" s="1">
        <v>9</v>
      </c>
      <c r="D140" s="17" t="s">
        <v>143</v>
      </c>
      <c r="E140" s="1">
        <f>F140+H140+J140+L140+N140</f>
        <v>30614</v>
      </c>
      <c r="F140" s="1">
        <v>8601</v>
      </c>
      <c r="G140" s="1">
        <f t="shared" si="15"/>
        <v>28.094989220618018</v>
      </c>
      <c r="H140" s="1">
        <v>11891</v>
      </c>
      <c r="I140" s="1">
        <f t="shared" si="16"/>
        <v>38.841706408832557</v>
      </c>
      <c r="J140" s="1">
        <v>7035</v>
      </c>
      <c r="K140" s="1">
        <f t="shared" si="17"/>
        <v>22.979682498203438</v>
      </c>
      <c r="L140" s="1">
        <v>2106</v>
      </c>
      <c r="M140" s="1">
        <f t="shared" si="18"/>
        <v>6.8792055922127133</v>
      </c>
      <c r="N140" s="1">
        <f>337+278+177+111+78</f>
        <v>981</v>
      </c>
      <c r="O140" s="1">
        <f t="shared" si="19"/>
        <v>3.2044162801332723</v>
      </c>
      <c r="R140" s="2">
        <v>1</v>
      </c>
    </row>
    <row r="141" spans="1:19" ht="9.75" customHeight="1" x14ac:dyDescent="0.15">
      <c r="B141" s="1">
        <v>44</v>
      </c>
      <c r="C141" s="5" t="s">
        <v>5</v>
      </c>
      <c r="D141" s="15" t="s">
        <v>144</v>
      </c>
      <c r="E141" s="16">
        <f>E139+E140</f>
        <v>66658</v>
      </c>
      <c r="F141" s="16">
        <f>F139+F140</f>
        <v>26502</v>
      </c>
      <c r="G141" s="16">
        <f t="shared" si="15"/>
        <v>39.758168561913045</v>
      </c>
      <c r="H141" s="16">
        <f>H139+H140</f>
        <v>20148</v>
      </c>
      <c r="I141" s="16">
        <f t="shared" si="16"/>
        <v>30.225929370818207</v>
      </c>
      <c r="J141" s="16">
        <f>J139+J140</f>
        <v>14326</v>
      </c>
      <c r="K141" s="16">
        <f t="shared" si="17"/>
        <v>21.491793933211316</v>
      </c>
      <c r="L141" s="16">
        <f>L139+L140</f>
        <v>4165</v>
      </c>
      <c r="M141" s="16">
        <f t="shared" si="18"/>
        <v>6.2483122805964779</v>
      </c>
      <c r="N141" s="16">
        <f>N139+N140</f>
        <v>1517</v>
      </c>
      <c r="O141" s="16">
        <f t="shared" si="19"/>
        <v>2.2757958534609499</v>
      </c>
    </row>
    <row r="142" spans="1:19" ht="9.75" customHeight="1" x14ac:dyDescent="0.15">
      <c r="A142" s="1">
        <v>44</v>
      </c>
      <c r="D142" s="15" t="s">
        <v>145</v>
      </c>
      <c r="E142" s="1">
        <f>F142+H142+J142+L142+N142</f>
        <v>29049</v>
      </c>
      <c r="F142" s="1">
        <v>14116</v>
      </c>
      <c r="G142" s="1">
        <f t="shared" si="15"/>
        <v>48.593755378842644</v>
      </c>
      <c r="H142" s="1">
        <v>5893</v>
      </c>
      <c r="I142" s="1">
        <f t="shared" si="16"/>
        <v>20.28641261317085</v>
      </c>
      <c r="J142" s="1">
        <v>6875</v>
      </c>
      <c r="K142" s="1">
        <f t="shared" si="17"/>
        <v>23.666907638817172</v>
      </c>
      <c r="L142" s="1">
        <v>1474</v>
      </c>
      <c r="M142" s="1">
        <f t="shared" si="18"/>
        <v>5.0741849977624014</v>
      </c>
      <c r="N142" s="1">
        <f>301+277+113</f>
        <v>691</v>
      </c>
      <c r="O142" s="1">
        <f t="shared" si="19"/>
        <v>2.3787393714069331</v>
      </c>
      <c r="Q142" s="2">
        <v>1</v>
      </c>
    </row>
    <row r="143" spans="1:19" ht="9.75" customHeight="1" x14ac:dyDescent="0.15">
      <c r="A143" s="1">
        <v>45</v>
      </c>
      <c r="D143" s="20" t="s">
        <v>146</v>
      </c>
      <c r="E143" s="1">
        <f>F143+H143+J143+L143+N143</f>
        <v>32533</v>
      </c>
      <c r="F143" s="1">
        <v>8602</v>
      </c>
      <c r="G143" s="1">
        <f t="shared" si="15"/>
        <v>26.440844680785663</v>
      </c>
      <c r="H143" s="1">
        <v>10248</v>
      </c>
      <c r="I143" s="1">
        <f t="shared" si="16"/>
        <v>31.500322749208497</v>
      </c>
      <c r="J143" s="1">
        <v>11135</v>
      </c>
      <c r="K143" s="1">
        <f t="shared" si="17"/>
        <v>34.22678511050318</v>
      </c>
      <c r="L143" s="1">
        <v>2283</v>
      </c>
      <c r="M143" s="1">
        <f t="shared" si="18"/>
        <v>7.0174899332984966</v>
      </c>
      <c r="N143" s="1">
        <v>265</v>
      </c>
      <c r="O143" s="1">
        <f t="shared" si="19"/>
        <v>0.81455752620416189</v>
      </c>
      <c r="S143" s="2">
        <v>1</v>
      </c>
    </row>
    <row r="144" spans="1:19" ht="9.75" customHeight="1" x14ac:dyDescent="0.15">
      <c r="B144" s="1">
        <v>45</v>
      </c>
      <c r="C144" s="5" t="s">
        <v>5</v>
      </c>
      <c r="D144" s="15" t="s">
        <v>147</v>
      </c>
      <c r="E144" s="16">
        <f>E142+E143</f>
        <v>61582</v>
      </c>
      <c r="F144" s="16">
        <f>F142+F143</f>
        <v>22718</v>
      </c>
      <c r="G144" s="16">
        <f t="shared" si="15"/>
        <v>36.890649865220354</v>
      </c>
      <c r="H144" s="16">
        <f>H142+H143</f>
        <v>16141</v>
      </c>
      <c r="I144" s="16">
        <f t="shared" si="16"/>
        <v>26.210581013932643</v>
      </c>
      <c r="J144" s="16">
        <f>J142+J143</f>
        <v>18010</v>
      </c>
      <c r="K144" s="16">
        <f t="shared" si="17"/>
        <v>29.245558767172227</v>
      </c>
      <c r="L144" s="16">
        <f>L142+L143</f>
        <v>3757</v>
      </c>
      <c r="M144" s="16">
        <f t="shared" si="18"/>
        <v>6.1008086778604138</v>
      </c>
      <c r="N144" s="16">
        <f>N142+N143</f>
        <v>956</v>
      </c>
      <c r="O144" s="16">
        <f t="shared" si="19"/>
        <v>1.5524016758143613</v>
      </c>
    </row>
    <row r="145" spans="1:17" ht="9.75" customHeight="1" x14ac:dyDescent="0.15"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</row>
    <row r="146" spans="1:17" ht="9.75" customHeight="1" x14ac:dyDescent="0.2">
      <c r="A146" s="3" t="s">
        <v>363</v>
      </c>
      <c r="B146" s="5"/>
      <c r="C146" s="5"/>
      <c r="D146" s="3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1:17" ht="10.35" customHeight="1" x14ac:dyDescent="0.15">
      <c r="A147" s="6" t="s">
        <v>0</v>
      </c>
      <c r="B147" s="6" t="s">
        <v>1</v>
      </c>
      <c r="C147" s="6"/>
      <c r="D147" s="6" t="s">
        <v>3</v>
      </c>
      <c r="E147" s="6" t="s">
        <v>4</v>
      </c>
      <c r="F147" s="7" t="s">
        <v>5</v>
      </c>
      <c r="G147" s="7" t="s">
        <v>6</v>
      </c>
      <c r="H147" s="8" t="s">
        <v>7</v>
      </c>
      <c r="I147" s="8" t="s">
        <v>6</v>
      </c>
      <c r="J147" s="9" t="s">
        <v>8</v>
      </c>
      <c r="K147" s="9" t="s">
        <v>6</v>
      </c>
      <c r="L147" s="10" t="s">
        <v>9</v>
      </c>
      <c r="M147" s="10" t="s">
        <v>6</v>
      </c>
      <c r="N147" s="6" t="s">
        <v>10</v>
      </c>
      <c r="O147" s="6" t="s">
        <v>6</v>
      </c>
    </row>
    <row r="148" spans="1:17" ht="12.4" customHeight="1" x14ac:dyDescent="0.2">
      <c r="A148" s="22"/>
      <c r="B148" s="22"/>
      <c r="C148" s="22"/>
      <c r="D148" s="27" t="s">
        <v>148</v>
      </c>
      <c r="E148" s="22"/>
      <c r="F148" s="23"/>
      <c r="G148" s="23"/>
      <c r="H148" s="24"/>
      <c r="I148" s="24"/>
      <c r="J148" s="25"/>
      <c r="K148" s="25"/>
      <c r="L148" s="26"/>
      <c r="M148" s="26"/>
      <c r="N148" s="22"/>
      <c r="O148" s="22"/>
    </row>
    <row r="149" spans="1:17" ht="9.75" customHeight="1" x14ac:dyDescent="0.15">
      <c r="A149" s="22">
        <v>112</v>
      </c>
      <c r="B149" s="22"/>
      <c r="C149" s="22"/>
      <c r="D149" s="23" t="s">
        <v>149</v>
      </c>
      <c r="E149" s="1">
        <f>F149+H149+J149+L149+N149</f>
        <v>35197</v>
      </c>
      <c r="F149" s="22">
        <v>19331</v>
      </c>
      <c r="G149" s="1">
        <f t="shared" ref="G149:G193" si="20">F149*100/$E149</f>
        <v>54.922294513736965</v>
      </c>
      <c r="H149" s="22">
        <v>11002</v>
      </c>
      <c r="I149" s="1">
        <f t="shared" ref="I149:I193" si="21">H149*100/$E149</f>
        <v>31.258345881751286</v>
      </c>
      <c r="J149" s="22">
        <v>0</v>
      </c>
      <c r="K149" s="1">
        <f t="shared" ref="K149:K193" si="22">J149*100/$E149</f>
        <v>0</v>
      </c>
      <c r="L149" s="22">
        <v>3425</v>
      </c>
      <c r="M149" s="1">
        <f t="shared" ref="M149:M193" si="23">L149*100/$E149</f>
        <v>9.7309429780947241</v>
      </c>
      <c r="N149" s="22">
        <f>961+478</f>
        <v>1439</v>
      </c>
      <c r="O149" s="1">
        <f t="shared" ref="O149:O193" si="24">N149*100/$E149</f>
        <v>4.0884166264170245</v>
      </c>
      <c r="Q149" s="2">
        <v>1</v>
      </c>
    </row>
    <row r="150" spans="1:17" ht="9.75" customHeight="1" x14ac:dyDescent="0.15">
      <c r="A150" s="1">
        <v>120</v>
      </c>
      <c r="D150" s="15" t="s">
        <v>150</v>
      </c>
      <c r="E150" s="1">
        <f>F150+H150+J150+L150+N150</f>
        <v>45338</v>
      </c>
      <c r="F150" s="1">
        <v>27750</v>
      </c>
      <c r="G150" s="1">
        <f t="shared" si="20"/>
        <v>61.206934580263798</v>
      </c>
      <c r="H150" s="1">
        <v>7238</v>
      </c>
      <c r="I150" s="1">
        <f t="shared" si="21"/>
        <v>15.964533062772951</v>
      </c>
      <c r="J150" s="1">
        <v>7074</v>
      </c>
      <c r="K150" s="1">
        <f t="shared" si="22"/>
        <v>15.602805593541841</v>
      </c>
      <c r="L150" s="1">
        <v>2101</v>
      </c>
      <c r="M150" s="1">
        <f t="shared" si="23"/>
        <v>4.6340817856985312</v>
      </c>
      <c r="N150" s="1">
        <f>584+196+190+115+90</f>
        <v>1175</v>
      </c>
      <c r="O150" s="1">
        <f t="shared" si="24"/>
        <v>2.5916449777228814</v>
      </c>
      <c r="Q150" s="2">
        <v>1</v>
      </c>
    </row>
    <row r="151" spans="1:17" ht="9.75" customHeight="1" x14ac:dyDescent="0.15">
      <c r="B151" s="1">
        <v>46</v>
      </c>
      <c r="C151" s="5" t="s">
        <v>5</v>
      </c>
      <c r="D151" s="15" t="s">
        <v>151</v>
      </c>
      <c r="E151" s="16">
        <f>E149+E150</f>
        <v>80535</v>
      </c>
      <c r="F151" s="16">
        <f>F149+F150</f>
        <v>47081</v>
      </c>
      <c r="G151" s="16">
        <f t="shared" si="20"/>
        <v>58.460296765381514</v>
      </c>
      <c r="H151" s="16">
        <f>H149+H150</f>
        <v>18240</v>
      </c>
      <c r="I151" s="16">
        <f t="shared" si="21"/>
        <v>22.648537902775193</v>
      </c>
      <c r="J151" s="16">
        <f>J149+J150</f>
        <v>7074</v>
      </c>
      <c r="K151" s="16">
        <f t="shared" si="22"/>
        <v>8.7837586142670894</v>
      </c>
      <c r="L151" s="16">
        <f>L149+L150</f>
        <v>5526</v>
      </c>
      <c r="M151" s="16">
        <f t="shared" si="23"/>
        <v>6.8616129633078788</v>
      </c>
      <c r="N151" s="16">
        <f>N149+N150</f>
        <v>2614</v>
      </c>
      <c r="O151" s="16">
        <f t="shared" si="24"/>
        <v>3.2457937542683304</v>
      </c>
    </row>
    <row r="152" spans="1:17" ht="9.75" customHeight="1" x14ac:dyDescent="0.15">
      <c r="A152" s="1">
        <v>47</v>
      </c>
      <c r="D152" s="15" t="s">
        <v>152</v>
      </c>
      <c r="E152" s="1">
        <f>F152+H152+J152+L152+N152</f>
        <v>37170</v>
      </c>
      <c r="F152" s="1">
        <v>30823</v>
      </c>
      <c r="G152" s="1">
        <f t="shared" si="20"/>
        <v>82.924401398977665</v>
      </c>
      <c r="H152" s="1">
        <v>1079</v>
      </c>
      <c r="I152" s="1">
        <f t="shared" si="21"/>
        <v>2.9028786655905301</v>
      </c>
      <c r="J152" s="1">
        <v>2128</v>
      </c>
      <c r="K152" s="1">
        <f t="shared" si="22"/>
        <v>5.7250470809792846</v>
      </c>
      <c r="L152" s="1">
        <f>855+232</f>
        <v>1087</v>
      </c>
      <c r="M152" s="1">
        <f t="shared" si="23"/>
        <v>2.92440139897767</v>
      </c>
      <c r="N152" s="1">
        <f>966+855+232</f>
        <v>2053</v>
      </c>
      <c r="O152" s="1">
        <f t="shared" si="24"/>
        <v>5.5232714554748457</v>
      </c>
      <c r="Q152" s="2">
        <v>1</v>
      </c>
    </row>
    <row r="153" spans="1:17" ht="9.75" customHeight="1" x14ac:dyDescent="0.15">
      <c r="A153" s="1">
        <v>81</v>
      </c>
      <c r="D153" s="15" t="s">
        <v>153</v>
      </c>
      <c r="E153" s="1">
        <f>F153+H153+J153+L153+N153</f>
        <v>44374</v>
      </c>
      <c r="F153" s="16">
        <v>36494</v>
      </c>
      <c r="G153" s="1">
        <f t="shared" si="20"/>
        <v>82.241853337540007</v>
      </c>
      <c r="H153" s="16">
        <v>3153</v>
      </c>
      <c r="I153" s="1">
        <f t="shared" si="21"/>
        <v>7.1055122368954793</v>
      </c>
      <c r="J153" s="16">
        <v>4303</v>
      </c>
      <c r="K153" s="1">
        <f t="shared" si="22"/>
        <v>9.6971199350971293</v>
      </c>
      <c r="L153" s="16">
        <v>0</v>
      </c>
      <c r="M153" s="1">
        <f t="shared" si="23"/>
        <v>0</v>
      </c>
      <c r="N153" s="16">
        <f>255+169</f>
        <v>424</v>
      </c>
      <c r="O153" s="1">
        <f t="shared" si="24"/>
        <v>0.95551449046739079</v>
      </c>
      <c r="Q153" s="2">
        <v>1</v>
      </c>
    </row>
    <row r="154" spans="1:17" ht="9.75" customHeight="1" x14ac:dyDescent="0.15">
      <c r="B154" s="1">
        <v>47</v>
      </c>
      <c r="C154" s="5" t="s">
        <v>5</v>
      </c>
      <c r="D154" s="15" t="s">
        <v>154</v>
      </c>
      <c r="E154" s="16">
        <f>E152+E153</f>
        <v>81544</v>
      </c>
      <c r="F154" s="16">
        <f>F152+F153</f>
        <v>67317</v>
      </c>
      <c r="G154" s="16">
        <f t="shared" si="20"/>
        <v>82.552977533601492</v>
      </c>
      <c r="H154" s="16">
        <f>H152+H153</f>
        <v>4232</v>
      </c>
      <c r="I154" s="16">
        <f t="shared" si="21"/>
        <v>5.1898361620720106</v>
      </c>
      <c r="J154" s="16">
        <f>J152+J153</f>
        <v>6431</v>
      </c>
      <c r="K154" s="16">
        <f t="shared" si="22"/>
        <v>7.8865397822034726</v>
      </c>
      <c r="L154" s="16">
        <f>L152+L153</f>
        <v>1087</v>
      </c>
      <c r="M154" s="16">
        <f t="shared" si="23"/>
        <v>1.3330226626115962</v>
      </c>
      <c r="N154" s="16">
        <f>N152+N153</f>
        <v>2477</v>
      </c>
      <c r="O154" s="16">
        <f t="shared" si="24"/>
        <v>3.0376238595114295</v>
      </c>
    </row>
    <row r="155" spans="1:17" ht="9.75" customHeight="1" x14ac:dyDescent="0.15">
      <c r="A155" s="1">
        <v>96</v>
      </c>
      <c r="D155" s="15" t="s">
        <v>155</v>
      </c>
      <c r="E155" s="1">
        <f>F155+H155+J155+L155+N155</f>
        <v>42115</v>
      </c>
      <c r="F155" s="1">
        <v>36746</v>
      </c>
      <c r="G155" s="1">
        <f t="shared" si="20"/>
        <v>87.251573073726703</v>
      </c>
      <c r="H155" s="1">
        <v>1561</v>
      </c>
      <c r="I155" s="1">
        <f t="shared" si="21"/>
        <v>3.7065178677430843</v>
      </c>
      <c r="J155" s="1">
        <v>2164</v>
      </c>
      <c r="K155" s="1">
        <f t="shared" si="22"/>
        <v>5.1383117654042501</v>
      </c>
      <c r="L155" s="1">
        <v>796</v>
      </c>
      <c r="M155" s="1">
        <f t="shared" si="23"/>
        <v>1.890062922949068</v>
      </c>
      <c r="N155" s="1">
        <f>606+146+96</f>
        <v>848</v>
      </c>
      <c r="O155" s="1">
        <f t="shared" si="24"/>
        <v>2.0135343701768966</v>
      </c>
      <c r="Q155" s="2">
        <v>1</v>
      </c>
    </row>
    <row r="156" spans="1:17" ht="9.75" customHeight="1" x14ac:dyDescent="0.15">
      <c r="A156" s="1">
        <v>70</v>
      </c>
      <c r="D156" s="15" t="s">
        <v>156</v>
      </c>
      <c r="E156" s="1">
        <f>F156+H156+J156+L156+N156</f>
        <v>32542</v>
      </c>
      <c r="F156" s="1">
        <v>20342</v>
      </c>
      <c r="G156" s="1">
        <f t="shared" si="20"/>
        <v>62.509987093602113</v>
      </c>
      <c r="H156" s="1">
        <v>4724</v>
      </c>
      <c r="I156" s="1">
        <f t="shared" si="21"/>
        <v>14.516624669657674</v>
      </c>
      <c r="J156" s="1">
        <v>4358</v>
      </c>
      <c r="K156" s="1">
        <f t="shared" si="22"/>
        <v>13.391924282465737</v>
      </c>
      <c r="L156" s="1">
        <v>1919</v>
      </c>
      <c r="M156" s="1">
        <f t="shared" si="23"/>
        <v>5.8969946530637332</v>
      </c>
      <c r="N156" s="1">
        <f>675+195+178+151</f>
        <v>1199</v>
      </c>
      <c r="O156" s="1">
        <f t="shared" si="24"/>
        <v>3.684469301210743</v>
      </c>
      <c r="Q156" s="2">
        <v>1</v>
      </c>
    </row>
    <row r="157" spans="1:17" ht="9.75" customHeight="1" x14ac:dyDescent="0.15">
      <c r="A157" s="5"/>
      <c r="B157" s="5">
        <v>48</v>
      </c>
      <c r="C157" s="5" t="s">
        <v>5</v>
      </c>
      <c r="D157" s="18" t="s">
        <v>157</v>
      </c>
      <c r="E157" s="12">
        <f>E155+E156</f>
        <v>74657</v>
      </c>
      <c r="F157" s="12">
        <f>F155+F156</f>
        <v>57088</v>
      </c>
      <c r="G157" s="12">
        <f t="shared" si="20"/>
        <v>76.467042608194816</v>
      </c>
      <c r="H157" s="12">
        <f>H155+H156</f>
        <v>6285</v>
      </c>
      <c r="I157" s="12">
        <f t="shared" si="21"/>
        <v>8.4185006094539023</v>
      </c>
      <c r="J157" s="12">
        <f>J155+J156</f>
        <v>6522</v>
      </c>
      <c r="K157" s="12">
        <f t="shared" si="22"/>
        <v>8.7359524224118292</v>
      </c>
      <c r="L157" s="12">
        <f>L155+L156</f>
        <v>2715</v>
      </c>
      <c r="M157" s="12">
        <f t="shared" si="23"/>
        <v>3.6366315281889174</v>
      </c>
      <c r="N157" s="12">
        <f>N155+N156</f>
        <v>2047</v>
      </c>
      <c r="O157" s="12">
        <f t="shared" si="24"/>
        <v>2.741872831750539</v>
      </c>
      <c r="P157" s="13"/>
    </row>
    <row r="158" spans="1:17" ht="9.75" customHeight="1" x14ac:dyDescent="0.15">
      <c r="A158" s="1">
        <v>106</v>
      </c>
      <c r="D158" s="15" t="s">
        <v>158</v>
      </c>
      <c r="E158" s="1">
        <f>F158+H158+J158+L158+N158</f>
        <v>38235</v>
      </c>
      <c r="F158" s="1">
        <v>31454</v>
      </c>
      <c r="G158" s="1">
        <f t="shared" si="20"/>
        <v>82.264940499542305</v>
      </c>
      <c r="H158" s="1">
        <v>3114</v>
      </c>
      <c r="I158" s="1">
        <f t="shared" si="21"/>
        <v>8.1443703413103172</v>
      </c>
      <c r="J158" s="1">
        <v>0</v>
      </c>
      <c r="K158" s="1">
        <f t="shared" si="22"/>
        <v>0</v>
      </c>
      <c r="L158" s="1">
        <v>2100</v>
      </c>
      <c r="M158" s="1">
        <f t="shared" si="23"/>
        <v>5.4923499411533934</v>
      </c>
      <c r="N158" s="1">
        <f>796+420+236+115</f>
        <v>1567</v>
      </c>
      <c r="O158" s="1">
        <f t="shared" si="24"/>
        <v>4.0983392179939848</v>
      </c>
      <c r="Q158" s="2">
        <v>1</v>
      </c>
    </row>
    <row r="159" spans="1:17" ht="9.75" customHeight="1" x14ac:dyDescent="0.15">
      <c r="A159" s="1">
        <v>3</v>
      </c>
      <c r="D159" s="15" t="s">
        <v>159</v>
      </c>
      <c r="E159" s="1">
        <f>F159+H159+J159+L159+N159</f>
        <v>34110</v>
      </c>
      <c r="F159" s="1">
        <v>24212</v>
      </c>
      <c r="G159" s="1">
        <f t="shared" si="20"/>
        <v>70.982116681325124</v>
      </c>
      <c r="H159" s="1">
        <v>3985</v>
      </c>
      <c r="I159" s="1">
        <f t="shared" si="21"/>
        <v>11.682790970389915</v>
      </c>
      <c r="J159" s="1">
        <v>3040</v>
      </c>
      <c r="K159" s="1">
        <f t="shared" si="22"/>
        <v>8.9123424215772502</v>
      </c>
      <c r="L159" s="1">
        <v>2239</v>
      </c>
      <c r="M159" s="1">
        <f t="shared" si="23"/>
        <v>6.5640574611550866</v>
      </c>
      <c r="N159" s="1">
        <f>405+162+67</f>
        <v>634</v>
      </c>
      <c r="O159" s="1">
        <f t="shared" si="24"/>
        <v>1.8586924655526238</v>
      </c>
      <c r="Q159" s="2">
        <v>1</v>
      </c>
    </row>
    <row r="160" spans="1:17" ht="9.75" customHeight="1" x14ac:dyDescent="0.15">
      <c r="B160" s="1">
        <v>49</v>
      </c>
      <c r="C160" s="5" t="s">
        <v>5</v>
      </c>
      <c r="D160" s="15" t="s">
        <v>160</v>
      </c>
      <c r="E160" s="16">
        <f>E158+E159</f>
        <v>72345</v>
      </c>
      <c r="F160" s="16">
        <f>F158+F159</f>
        <v>55666</v>
      </c>
      <c r="G160" s="16">
        <f t="shared" si="20"/>
        <v>76.945193171608267</v>
      </c>
      <c r="H160" s="16">
        <f>H158+H159</f>
        <v>7099</v>
      </c>
      <c r="I160" s="16">
        <f t="shared" si="21"/>
        <v>9.8127030202501899</v>
      </c>
      <c r="J160" s="16">
        <f>J158+J159</f>
        <v>3040</v>
      </c>
      <c r="K160" s="16">
        <f t="shared" si="22"/>
        <v>4.2020872209551454</v>
      </c>
      <c r="L160" s="16">
        <f>L158+L159</f>
        <v>4339</v>
      </c>
      <c r="M160" s="16">
        <f t="shared" si="23"/>
        <v>5.9976501485935447</v>
      </c>
      <c r="N160" s="16">
        <f>N158+N159</f>
        <v>2201</v>
      </c>
      <c r="O160" s="16">
        <f t="shared" si="24"/>
        <v>3.0423664385928535</v>
      </c>
    </row>
    <row r="161" spans="1:20" ht="9.75" customHeight="1" x14ac:dyDescent="0.15">
      <c r="A161" s="1">
        <v>85</v>
      </c>
      <c r="D161" s="15" t="s">
        <v>161</v>
      </c>
      <c r="E161" s="1">
        <f>F161+H161+J161+L161+N161</f>
        <v>27320</v>
      </c>
      <c r="F161" s="1">
        <v>15368</v>
      </c>
      <c r="G161" s="1">
        <f t="shared" si="20"/>
        <v>56.251830161054173</v>
      </c>
      <c r="H161" s="1">
        <v>3993</v>
      </c>
      <c r="I161" s="1">
        <f t="shared" si="21"/>
        <v>14.615666178623719</v>
      </c>
      <c r="J161" s="1">
        <v>2252</v>
      </c>
      <c r="K161" s="1">
        <f t="shared" si="22"/>
        <v>8.2430453879941439</v>
      </c>
      <c r="L161" s="1">
        <v>4621</v>
      </c>
      <c r="M161" s="1">
        <f t="shared" si="23"/>
        <v>16.914348462664716</v>
      </c>
      <c r="N161" s="1">
        <f>660+192+154+80</f>
        <v>1086</v>
      </c>
      <c r="O161" s="1">
        <f t="shared" si="24"/>
        <v>3.9751098096632504</v>
      </c>
      <c r="Q161" s="2">
        <v>1</v>
      </c>
    </row>
    <row r="162" spans="1:20" ht="9.75" customHeight="1" x14ac:dyDescent="0.15">
      <c r="A162" s="1">
        <v>80</v>
      </c>
      <c r="D162" s="15" t="s">
        <v>162</v>
      </c>
      <c r="E162" s="1">
        <f>F162+H162+J162+L162+N162</f>
        <v>29201</v>
      </c>
      <c r="F162" s="1">
        <v>23267</v>
      </c>
      <c r="G162" s="1">
        <f t="shared" si="20"/>
        <v>79.678778124036853</v>
      </c>
      <c r="H162" s="1">
        <v>1603</v>
      </c>
      <c r="I162" s="1">
        <f t="shared" si="21"/>
        <v>5.4895380295195366</v>
      </c>
      <c r="J162" s="1">
        <v>2018</v>
      </c>
      <c r="K162" s="1">
        <f t="shared" si="22"/>
        <v>6.910722235539879</v>
      </c>
      <c r="L162" s="1">
        <v>1572</v>
      </c>
      <c r="M162" s="1">
        <f t="shared" si="23"/>
        <v>5.3833772815999454</v>
      </c>
      <c r="N162" s="1">
        <f>520+161+60</f>
        <v>741</v>
      </c>
      <c r="O162" s="1">
        <f t="shared" si="24"/>
        <v>2.5375843293037912</v>
      </c>
      <c r="Q162" s="2">
        <v>1</v>
      </c>
    </row>
    <row r="163" spans="1:20" ht="9.75" customHeight="1" x14ac:dyDescent="0.15">
      <c r="A163" s="5"/>
      <c r="B163" s="5">
        <v>50</v>
      </c>
      <c r="C163" s="5" t="s">
        <v>5</v>
      </c>
      <c r="D163" s="18" t="s">
        <v>163</v>
      </c>
      <c r="E163" s="12">
        <f>E161+E162</f>
        <v>56521</v>
      </c>
      <c r="F163" s="12">
        <f>F161+F162</f>
        <v>38635</v>
      </c>
      <c r="G163" s="12">
        <f t="shared" si="20"/>
        <v>68.355124643937657</v>
      </c>
      <c r="H163" s="12">
        <f>H161+H162</f>
        <v>5596</v>
      </c>
      <c r="I163" s="12">
        <f t="shared" si="21"/>
        <v>9.9007448558942688</v>
      </c>
      <c r="J163" s="12">
        <f>J161+J162</f>
        <v>4270</v>
      </c>
      <c r="K163" s="12">
        <f t="shared" si="22"/>
        <v>7.5547141770315456</v>
      </c>
      <c r="L163" s="12">
        <f>L161+L162</f>
        <v>6193</v>
      </c>
      <c r="M163" s="12">
        <f t="shared" si="23"/>
        <v>10.956989437554183</v>
      </c>
      <c r="N163" s="12">
        <f>N161+N162</f>
        <v>1827</v>
      </c>
      <c r="O163" s="12">
        <f t="shared" si="24"/>
        <v>3.2324268855823499</v>
      </c>
      <c r="P163" s="13"/>
    </row>
    <row r="164" spans="1:20" ht="9.75" customHeight="1" x14ac:dyDescent="0.15">
      <c r="A164" s="1">
        <v>62</v>
      </c>
      <c r="D164" s="15" t="s">
        <v>164</v>
      </c>
      <c r="E164" s="1">
        <f>F164+H164+J164+L164+N164</f>
        <v>33684</v>
      </c>
      <c r="F164" s="1">
        <v>15566</v>
      </c>
      <c r="G164" s="1">
        <f t="shared" si="20"/>
        <v>46.211851324070778</v>
      </c>
      <c r="H164" s="1">
        <v>5369</v>
      </c>
      <c r="I164" s="1">
        <f t="shared" si="21"/>
        <v>15.939318370739818</v>
      </c>
      <c r="J164" s="1">
        <v>2415</v>
      </c>
      <c r="K164" s="1">
        <f t="shared" si="22"/>
        <v>7.1695760598503737</v>
      </c>
      <c r="L164" s="1">
        <v>9330</v>
      </c>
      <c r="M164" s="1">
        <f t="shared" si="23"/>
        <v>27.698610616316351</v>
      </c>
      <c r="N164" s="1">
        <f>482+263+143+116</f>
        <v>1004</v>
      </c>
      <c r="O164" s="1">
        <f t="shared" si="24"/>
        <v>2.9806436290226812</v>
      </c>
      <c r="Q164" s="2">
        <v>1</v>
      </c>
    </row>
    <row r="165" spans="1:20" ht="9.75" customHeight="1" x14ac:dyDescent="0.15">
      <c r="A165" s="1">
        <v>39</v>
      </c>
      <c r="D165" s="33" t="s">
        <v>165</v>
      </c>
      <c r="E165" s="1">
        <f>F165+H165+J165+L165+N165</f>
        <v>31592</v>
      </c>
      <c r="F165" s="1">
        <v>5642</v>
      </c>
      <c r="G165" s="1">
        <f t="shared" si="20"/>
        <v>17.858951633324892</v>
      </c>
      <c r="H165" s="1">
        <v>6438</v>
      </c>
      <c r="I165" s="1">
        <f t="shared" si="21"/>
        <v>20.378576854899976</v>
      </c>
      <c r="J165" s="1">
        <v>2748</v>
      </c>
      <c r="K165" s="1">
        <f t="shared" si="22"/>
        <v>8.6984046594074442</v>
      </c>
      <c r="L165" s="1">
        <v>16055</v>
      </c>
      <c r="M165" s="1">
        <f t="shared" si="23"/>
        <v>50.819827804507469</v>
      </c>
      <c r="N165" s="1">
        <f>358+351</f>
        <v>709</v>
      </c>
      <c r="O165" s="1">
        <f t="shared" si="24"/>
        <v>2.2442390478602179</v>
      </c>
      <c r="T165" s="2">
        <v>1</v>
      </c>
    </row>
    <row r="166" spans="1:20" ht="9.75" customHeight="1" x14ac:dyDescent="0.15">
      <c r="B166" s="1">
        <v>51</v>
      </c>
      <c r="C166" s="1" t="s">
        <v>9</v>
      </c>
      <c r="D166" s="33" t="s">
        <v>166</v>
      </c>
      <c r="E166" s="16">
        <f>E164+E165</f>
        <v>65276</v>
      </c>
      <c r="F166" s="16">
        <f>F164+F165</f>
        <v>21208</v>
      </c>
      <c r="G166" s="16">
        <f t="shared" si="20"/>
        <v>32.489735890679576</v>
      </c>
      <c r="H166" s="16">
        <f>H164+H165</f>
        <v>11807</v>
      </c>
      <c r="I166" s="16">
        <f t="shared" si="21"/>
        <v>18.087811753171149</v>
      </c>
      <c r="J166" s="16">
        <f>J164+J165</f>
        <v>5163</v>
      </c>
      <c r="K166" s="16">
        <f t="shared" si="22"/>
        <v>7.9094920031864699</v>
      </c>
      <c r="L166" s="16">
        <f>L164+L165</f>
        <v>25385</v>
      </c>
      <c r="M166" s="16">
        <f t="shared" si="23"/>
        <v>38.888718671487226</v>
      </c>
      <c r="N166" s="16">
        <f>N164+N165</f>
        <v>1713</v>
      </c>
      <c r="O166" s="16">
        <f t="shared" si="24"/>
        <v>2.6242416814755805</v>
      </c>
    </row>
    <row r="167" spans="1:20" ht="9.75" customHeight="1" x14ac:dyDescent="0.15">
      <c r="A167" s="1">
        <v>75</v>
      </c>
      <c r="D167" s="33" t="s">
        <v>167</v>
      </c>
      <c r="E167" s="1">
        <f>F167+H167+J167+L167+N167</f>
        <v>28639</v>
      </c>
      <c r="F167" s="1">
        <v>6593</v>
      </c>
      <c r="G167" s="1">
        <f t="shared" si="20"/>
        <v>23.021055204441495</v>
      </c>
      <c r="H167" s="1">
        <v>5872</v>
      </c>
      <c r="I167" s="1">
        <f t="shared" si="21"/>
        <v>20.50350920074025</v>
      </c>
      <c r="J167" s="1">
        <v>2400</v>
      </c>
      <c r="K167" s="1">
        <f t="shared" si="22"/>
        <v>8.3801808722371582</v>
      </c>
      <c r="L167" s="1">
        <v>13228</v>
      </c>
      <c r="M167" s="1">
        <f t="shared" si="23"/>
        <v>46.188763574147139</v>
      </c>
      <c r="N167" s="1">
        <f>228+189+129</f>
        <v>546</v>
      </c>
      <c r="O167" s="1">
        <f t="shared" si="24"/>
        <v>1.9064911484339537</v>
      </c>
      <c r="T167" s="2">
        <v>1</v>
      </c>
    </row>
    <row r="168" spans="1:20" ht="9.75" customHeight="1" x14ac:dyDescent="0.15">
      <c r="A168" s="1">
        <v>107</v>
      </c>
      <c r="D168" s="33" t="s">
        <v>168</v>
      </c>
      <c r="E168" s="1">
        <f>F168+H168+J168+L168+N168</f>
        <v>27664</v>
      </c>
      <c r="F168" s="1">
        <v>8437</v>
      </c>
      <c r="G168" s="1">
        <f t="shared" si="20"/>
        <v>30.498120300751879</v>
      </c>
      <c r="H168" s="1">
        <v>7612</v>
      </c>
      <c r="I168" s="1">
        <f t="shared" si="21"/>
        <v>27.515905147484094</v>
      </c>
      <c r="J168" s="1">
        <v>2364</v>
      </c>
      <c r="K168" s="1">
        <f t="shared" si="22"/>
        <v>8.5454019664545982</v>
      </c>
      <c r="L168" s="1">
        <v>8437</v>
      </c>
      <c r="M168" s="1">
        <f t="shared" si="23"/>
        <v>30.498120300751879</v>
      </c>
      <c r="N168" s="1">
        <f>393+210+164+47</f>
        <v>814</v>
      </c>
      <c r="O168" s="1">
        <f t="shared" si="24"/>
        <v>2.9424522845575476</v>
      </c>
      <c r="T168" s="2">
        <v>1</v>
      </c>
    </row>
    <row r="169" spans="1:20" ht="9.75" customHeight="1" x14ac:dyDescent="0.15">
      <c r="B169" s="1">
        <v>52</v>
      </c>
      <c r="C169" s="1" t="s">
        <v>9</v>
      </c>
      <c r="D169" s="33" t="s">
        <v>169</v>
      </c>
      <c r="E169" s="16">
        <f>E167+E168</f>
        <v>56303</v>
      </c>
      <c r="F169" s="16">
        <f>F167+F168</f>
        <v>15030</v>
      </c>
      <c r="G169" s="16">
        <f t="shared" si="20"/>
        <v>26.694847521446459</v>
      </c>
      <c r="H169" s="16">
        <f>H167+H168</f>
        <v>13484</v>
      </c>
      <c r="I169" s="16">
        <f t="shared" si="21"/>
        <v>23.948990284709517</v>
      </c>
      <c r="J169" s="16">
        <f>J167+J168</f>
        <v>4764</v>
      </c>
      <c r="K169" s="16">
        <f t="shared" si="22"/>
        <v>8.4613608511091769</v>
      </c>
      <c r="L169" s="16">
        <f>L167+L168</f>
        <v>21665</v>
      </c>
      <c r="M169" s="16">
        <f t="shared" si="23"/>
        <v>38.479299504466901</v>
      </c>
      <c r="N169" s="16">
        <f>N167+N168</f>
        <v>1360</v>
      </c>
      <c r="O169" s="16">
        <f t="shared" si="24"/>
        <v>2.415501838267943</v>
      </c>
    </row>
    <row r="170" spans="1:20" ht="9.75" customHeight="1" x14ac:dyDescent="0.15">
      <c r="A170" s="1">
        <v>42</v>
      </c>
      <c r="D170" s="17" t="s">
        <v>170</v>
      </c>
      <c r="E170" s="1">
        <f>F170+H170+J170+L170+N170</f>
        <v>25925</v>
      </c>
      <c r="F170" s="1">
        <v>4675</v>
      </c>
      <c r="G170" s="1">
        <f t="shared" si="20"/>
        <v>18.032786885245901</v>
      </c>
      <c r="H170" s="1">
        <v>9038</v>
      </c>
      <c r="I170" s="1">
        <f t="shared" si="21"/>
        <v>34.862102217936354</v>
      </c>
      <c r="J170" s="1">
        <v>3097</v>
      </c>
      <c r="K170" s="1">
        <f t="shared" si="22"/>
        <v>11.945998071359691</v>
      </c>
      <c r="L170" s="1">
        <v>7926</v>
      </c>
      <c r="M170" s="1">
        <f t="shared" si="23"/>
        <v>30.572806171648988</v>
      </c>
      <c r="N170" s="1">
        <f>352+316+278+182+61</f>
        <v>1189</v>
      </c>
      <c r="O170" s="1">
        <f t="shared" si="24"/>
        <v>4.5863066538090642</v>
      </c>
      <c r="R170" s="2">
        <v>1</v>
      </c>
    </row>
    <row r="171" spans="1:20" ht="9.75" customHeight="1" x14ac:dyDescent="0.15">
      <c r="A171" s="1">
        <v>98</v>
      </c>
      <c r="D171" s="17" t="s">
        <v>171</v>
      </c>
      <c r="E171" s="1">
        <f>F171+H171+J171+L171+N171</f>
        <v>37006</v>
      </c>
      <c r="F171" s="1">
        <v>11115</v>
      </c>
      <c r="G171" s="1">
        <f t="shared" si="20"/>
        <v>30.035669891368968</v>
      </c>
      <c r="H171" s="1">
        <v>12632</v>
      </c>
      <c r="I171" s="1">
        <f t="shared" si="21"/>
        <v>34.135005134302546</v>
      </c>
      <c r="J171" s="1">
        <v>5252</v>
      </c>
      <c r="K171" s="1">
        <f t="shared" si="22"/>
        <v>14.192293141652705</v>
      </c>
      <c r="L171" s="1">
        <v>6920</v>
      </c>
      <c r="M171" s="1">
        <f t="shared" si="23"/>
        <v>18.699670323731286</v>
      </c>
      <c r="N171" s="1">
        <f>488+321+278</f>
        <v>1087</v>
      </c>
      <c r="O171" s="1">
        <f t="shared" si="24"/>
        <v>2.9373615089444955</v>
      </c>
      <c r="R171" s="2">
        <v>1</v>
      </c>
    </row>
    <row r="172" spans="1:20" ht="9.75" customHeight="1" x14ac:dyDescent="0.15">
      <c r="A172" s="5"/>
      <c r="B172" s="5">
        <v>53</v>
      </c>
      <c r="C172" s="5" t="s">
        <v>7</v>
      </c>
      <c r="D172" s="19" t="s">
        <v>172</v>
      </c>
      <c r="E172" s="12">
        <f>E170+E171</f>
        <v>62931</v>
      </c>
      <c r="F172" s="12">
        <f>F170+F171</f>
        <v>15790</v>
      </c>
      <c r="G172" s="12">
        <f t="shared" si="20"/>
        <v>25.090972652587755</v>
      </c>
      <c r="H172" s="12">
        <f>H170+H171</f>
        <v>21670</v>
      </c>
      <c r="I172" s="12">
        <f t="shared" si="21"/>
        <v>34.434539416185984</v>
      </c>
      <c r="J172" s="12">
        <f>J170+J171</f>
        <v>8349</v>
      </c>
      <c r="K172" s="12">
        <f t="shared" si="22"/>
        <v>13.266911379129523</v>
      </c>
      <c r="L172" s="12">
        <f>L170+L171</f>
        <v>14846</v>
      </c>
      <c r="M172" s="12">
        <f t="shared" si="23"/>
        <v>23.590917036118924</v>
      </c>
      <c r="N172" s="12">
        <f>N170+N171</f>
        <v>2276</v>
      </c>
      <c r="O172" s="12">
        <f t="shared" si="24"/>
        <v>3.6166595159778168</v>
      </c>
      <c r="P172" s="13"/>
    </row>
    <row r="173" spans="1:20" ht="9.75" customHeight="1" x14ac:dyDescent="0.15">
      <c r="A173" s="1">
        <v>17</v>
      </c>
      <c r="D173" s="17" t="s">
        <v>173</v>
      </c>
      <c r="E173" s="1">
        <f>F173+H173+J173+L173+N173</f>
        <v>33541</v>
      </c>
      <c r="F173" s="1">
        <v>9685</v>
      </c>
      <c r="G173" s="1">
        <f t="shared" si="20"/>
        <v>28.87510807668227</v>
      </c>
      <c r="H173" s="1">
        <v>12709</v>
      </c>
      <c r="I173" s="1">
        <f t="shared" si="21"/>
        <v>37.890939447243674</v>
      </c>
      <c r="J173" s="1">
        <v>6548</v>
      </c>
      <c r="K173" s="1">
        <f t="shared" si="22"/>
        <v>19.522375600011927</v>
      </c>
      <c r="L173" s="1">
        <v>3733</v>
      </c>
      <c r="M173" s="1">
        <f t="shared" si="23"/>
        <v>11.129662204466175</v>
      </c>
      <c r="N173" s="1">
        <f>508+253+105</f>
        <v>866</v>
      </c>
      <c r="O173" s="1">
        <f t="shared" si="24"/>
        <v>2.5819146715959573</v>
      </c>
      <c r="R173" s="2">
        <v>1</v>
      </c>
    </row>
    <row r="174" spans="1:20" ht="9.75" customHeight="1" x14ac:dyDescent="0.15">
      <c r="A174" s="1">
        <v>87</v>
      </c>
      <c r="D174" s="17" t="s">
        <v>174</v>
      </c>
      <c r="E174" s="1">
        <f>F174+H174+J174+L174+N174</f>
        <v>27781</v>
      </c>
      <c r="F174" s="1">
        <v>6199</v>
      </c>
      <c r="G174" s="1">
        <f t="shared" si="20"/>
        <v>22.313811597854649</v>
      </c>
      <c r="H174" s="1">
        <v>12021</v>
      </c>
      <c r="I174" s="1">
        <f t="shared" si="21"/>
        <v>43.270580612648935</v>
      </c>
      <c r="J174" s="1">
        <v>6692</v>
      </c>
      <c r="K174" s="1">
        <f t="shared" si="22"/>
        <v>24.088405744933588</v>
      </c>
      <c r="L174" s="1">
        <v>2165</v>
      </c>
      <c r="M174" s="1">
        <f t="shared" si="23"/>
        <v>7.7930960008638994</v>
      </c>
      <c r="N174" s="1">
        <f>332+234+82+56</f>
        <v>704</v>
      </c>
      <c r="O174" s="1">
        <f t="shared" si="24"/>
        <v>2.5341060436989311</v>
      </c>
      <c r="R174" s="2">
        <v>1</v>
      </c>
    </row>
    <row r="175" spans="1:20" ht="9.75" customHeight="1" x14ac:dyDescent="0.15">
      <c r="B175" s="1">
        <v>54</v>
      </c>
      <c r="C175" s="1" t="s">
        <v>7</v>
      </c>
      <c r="D175" s="17" t="s">
        <v>175</v>
      </c>
      <c r="E175" s="16">
        <f>E173+E174</f>
        <v>61322</v>
      </c>
      <c r="F175" s="16">
        <f>F173+F174</f>
        <v>15884</v>
      </c>
      <c r="G175" s="16">
        <f t="shared" si="20"/>
        <v>25.90261243925508</v>
      </c>
      <c r="H175" s="16">
        <f>H173+H174</f>
        <v>24730</v>
      </c>
      <c r="I175" s="16">
        <f t="shared" si="21"/>
        <v>40.328104106193535</v>
      </c>
      <c r="J175" s="16">
        <f>J173+J174</f>
        <v>13240</v>
      </c>
      <c r="K175" s="16">
        <f t="shared" si="22"/>
        <v>21.590946153093505</v>
      </c>
      <c r="L175" s="16">
        <f>L173+L174</f>
        <v>5898</v>
      </c>
      <c r="M175" s="16">
        <f t="shared" si="23"/>
        <v>9.6180816020351578</v>
      </c>
      <c r="N175" s="16">
        <f>N173+N174</f>
        <v>1570</v>
      </c>
      <c r="O175" s="16">
        <f t="shared" si="24"/>
        <v>2.5602556994227195</v>
      </c>
    </row>
    <row r="176" spans="1:20" ht="9.75" customHeight="1" x14ac:dyDescent="0.15">
      <c r="A176" s="1">
        <v>56</v>
      </c>
      <c r="D176" s="15" t="s">
        <v>176</v>
      </c>
      <c r="E176" s="1">
        <f>F176+H176+J176+L176+N176</f>
        <v>30678</v>
      </c>
      <c r="F176" s="1">
        <v>22476</v>
      </c>
      <c r="G176" s="1">
        <f t="shared" si="20"/>
        <v>73.264228437316646</v>
      </c>
      <c r="H176" s="1">
        <v>3327</v>
      </c>
      <c r="I176" s="1">
        <f t="shared" si="21"/>
        <v>10.844905143751223</v>
      </c>
      <c r="J176" s="1">
        <v>3303</v>
      </c>
      <c r="K176" s="1">
        <f t="shared" si="22"/>
        <v>10.766673185996479</v>
      </c>
      <c r="L176" s="1">
        <v>1189</v>
      </c>
      <c r="M176" s="1">
        <f t="shared" si="23"/>
        <v>3.8757415737662169</v>
      </c>
      <c r="N176" s="1">
        <f>233+116+34</f>
        <v>383</v>
      </c>
      <c r="O176" s="1">
        <f t="shared" si="24"/>
        <v>1.2484516591694375</v>
      </c>
      <c r="Q176" s="2">
        <v>1</v>
      </c>
    </row>
    <row r="177" spans="1:17" ht="9.75" customHeight="1" x14ac:dyDescent="0.15">
      <c r="A177" s="1">
        <v>4</v>
      </c>
      <c r="D177" s="15" t="s">
        <v>177</v>
      </c>
      <c r="E177" s="1">
        <f>F177+H177+J177+L177+N177</f>
        <v>31618</v>
      </c>
      <c r="F177" s="1">
        <v>16049</v>
      </c>
      <c r="G177" s="1">
        <f t="shared" si="20"/>
        <v>50.759061294199505</v>
      </c>
      <c r="H177" s="1">
        <v>7326</v>
      </c>
      <c r="I177" s="1">
        <f t="shared" si="21"/>
        <v>23.170346005439939</v>
      </c>
      <c r="J177" s="1">
        <v>5315</v>
      </c>
      <c r="K177" s="1">
        <f t="shared" si="22"/>
        <v>16.810044911126575</v>
      </c>
      <c r="L177" s="1">
        <v>2448</v>
      </c>
      <c r="M177" s="1">
        <f t="shared" si="23"/>
        <v>7.7424252008349672</v>
      </c>
      <c r="N177" s="1">
        <f>333+147</f>
        <v>480</v>
      </c>
      <c r="O177" s="1">
        <f t="shared" si="24"/>
        <v>1.5181225883990133</v>
      </c>
      <c r="Q177" s="2">
        <v>1</v>
      </c>
    </row>
    <row r="178" spans="1:17" ht="9.75" customHeight="1" x14ac:dyDescent="0.15">
      <c r="B178" s="1">
        <v>55</v>
      </c>
      <c r="C178" s="5" t="s">
        <v>5</v>
      </c>
      <c r="D178" s="15" t="s">
        <v>178</v>
      </c>
      <c r="E178" s="16">
        <f>E176+E177</f>
        <v>62296</v>
      </c>
      <c r="F178" s="16">
        <f>F176+F177</f>
        <v>38525</v>
      </c>
      <c r="G178" s="16">
        <f t="shared" si="20"/>
        <v>61.841851804289199</v>
      </c>
      <c r="H178" s="16">
        <f>H176+H177</f>
        <v>10653</v>
      </c>
      <c r="I178" s="16">
        <f t="shared" si="21"/>
        <v>17.100616411968666</v>
      </c>
      <c r="J178" s="16">
        <f>J176+J177</f>
        <v>8618</v>
      </c>
      <c r="K178" s="16">
        <f t="shared" si="22"/>
        <v>13.83395402594067</v>
      </c>
      <c r="L178" s="16">
        <f>L176+L177</f>
        <v>3637</v>
      </c>
      <c r="M178" s="16">
        <f t="shared" si="23"/>
        <v>5.8382560678053164</v>
      </c>
      <c r="N178" s="16">
        <f>N176+N177</f>
        <v>863</v>
      </c>
      <c r="O178" s="16">
        <f t="shared" si="24"/>
        <v>1.3853216899961474</v>
      </c>
    </row>
    <row r="179" spans="1:17" ht="9.75" customHeight="1" x14ac:dyDescent="0.15">
      <c r="A179" s="1">
        <v>50</v>
      </c>
      <c r="D179" s="15" t="s">
        <v>179</v>
      </c>
      <c r="E179" s="1">
        <f>F179+H179+J179+L179+N179</f>
        <v>34374</v>
      </c>
      <c r="F179" s="1">
        <v>26997</v>
      </c>
      <c r="G179" s="1">
        <f t="shared" si="20"/>
        <v>78.53901204398673</v>
      </c>
      <c r="H179" s="1">
        <v>2956</v>
      </c>
      <c r="I179" s="1">
        <f t="shared" si="21"/>
        <v>8.5995228952114964</v>
      </c>
      <c r="J179" s="1">
        <v>2815</v>
      </c>
      <c r="K179" s="1">
        <f t="shared" si="22"/>
        <v>8.1893291441205562</v>
      </c>
      <c r="L179" s="1">
        <v>1154</v>
      </c>
      <c r="M179" s="1">
        <f t="shared" si="23"/>
        <v>3.35718857275848</v>
      </c>
      <c r="N179" s="1">
        <f>379+73</f>
        <v>452</v>
      </c>
      <c r="O179" s="1">
        <f t="shared" si="24"/>
        <v>1.3149473439227324</v>
      </c>
      <c r="Q179" s="2">
        <v>1</v>
      </c>
    </row>
    <row r="180" spans="1:17" ht="9.75" customHeight="1" x14ac:dyDescent="0.15">
      <c r="A180" s="1">
        <v>16</v>
      </c>
      <c r="D180" s="15" t="s">
        <v>180</v>
      </c>
      <c r="E180" s="1">
        <f>F180+H180+J180+L180+N180</f>
        <v>29596</v>
      </c>
      <c r="F180" s="1">
        <v>17905</v>
      </c>
      <c r="G180" s="1">
        <f t="shared" si="20"/>
        <v>60.498040275712931</v>
      </c>
      <c r="H180" s="1">
        <v>5646</v>
      </c>
      <c r="I180" s="1">
        <f t="shared" si="21"/>
        <v>19.076902284092444</v>
      </c>
      <c r="J180" s="1">
        <v>3624</v>
      </c>
      <c r="K180" s="1">
        <f t="shared" si="22"/>
        <v>12.244897959183673</v>
      </c>
      <c r="L180" s="1">
        <v>1737</v>
      </c>
      <c r="M180" s="1">
        <f t="shared" si="23"/>
        <v>5.8690363562643597</v>
      </c>
      <c r="N180" s="1">
        <f>351+214+119</f>
        <v>684</v>
      </c>
      <c r="O180" s="1">
        <f t="shared" si="24"/>
        <v>2.3111231247465875</v>
      </c>
      <c r="Q180" s="2">
        <v>1</v>
      </c>
    </row>
    <row r="181" spans="1:17" ht="9.75" customHeight="1" x14ac:dyDescent="0.15">
      <c r="B181" s="1">
        <v>56</v>
      </c>
      <c r="C181" s="5" t="s">
        <v>5</v>
      </c>
      <c r="D181" s="15" t="s">
        <v>181</v>
      </c>
      <c r="E181" s="16">
        <f>E179+E180</f>
        <v>63970</v>
      </c>
      <c r="F181" s="16">
        <f>F179+F180</f>
        <v>44902</v>
      </c>
      <c r="G181" s="16">
        <f t="shared" si="20"/>
        <v>70.192277630139131</v>
      </c>
      <c r="H181" s="16">
        <f>H179+H180</f>
        <v>8602</v>
      </c>
      <c r="I181" s="16">
        <f t="shared" si="21"/>
        <v>13.44692824761607</v>
      </c>
      <c r="J181" s="16">
        <f>J179+J180</f>
        <v>6439</v>
      </c>
      <c r="K181" s="16">
        <f t="shared" si="22"/>
        <v>10.065655776145068</v>
      </c>
      <c r="L181" s="16">
        <f>L179+L180</f>
        <v>2891</v>
      </c>
      <c r="M181" s="16">
        <f t="shared" si="23"/>
        <v>4.5193059246521807</v>
      </c>
      <c r="N181" s="16">
        <f>N179+N180</f>
        <v>1136</v>
      </c>
      <c r="O181" s="16">
        <f t="shared" si="24"/>
        <v>1.7758324214475536</v>
      </c>
    </row>
    <row r="182" spans="1:17" ht="9.75" customHeight="1" x14ac:dyDescent="0.15">
      <c r="A182" s="1">
        <v>123</v>
      </c>
      <c r="D182" s="15" t="s">
        <v>182</v>
      </c>
      <c r="E182" s="1">
        <f>F182+H182+J182+L182+N182</f>
        <v>25719</v>
      </c>
      <c r="F182" s="1">
        <v>15945</v>
      </c>
      <c r="G182" s="1">
        <f t="shared" si="20"/>
        <v>61.996967222675842</v>
      </c>
      <c r="H182" s="1">
        <v>3782</v>
      </c>
      <c r="I182" s="1">
        <f t="shared" si="21"/>
        <v>14.705081846105992</v>
      </c>
      <c r="J182" s="1">
        <v>2380</v>
      </c>
      <c r="K182" s="1">
        <f t="shared" si="22"/>
        <v>9.2538590147361877</v>
      </c>
      <c r="L182" s="1">
        <v>2795</v>
      </c>
      <c r="M182" s="1">
        <f t="shared" si="23"/>
        <v>10.867452078230102</v>
      </c>
      <c r="N182" s="1">
        <f>314+179+179+145</f>
        <v>817</v>
      </c>
      <c r="O182" s="1">
        <f t="shared" si="24"/>
        <v>3.1766398382518761</v>
      </c>
      <c r="Q182" s="2">
        <v>1</v>
      </c>
    </row>
    <row r="183" spans="1:17" ht="9.75" customHeight="1" x14ac:dyDescent="0.15">
      <c r="A183" s="1">
        <v>30</v>
      </c>
      <c r="D183" s="15" t="s">
        <v>183</v>
      </c>
      <c r="E183" s="1">
        <f>F183+H183+J183+L183+N183</f>
        <v>34464</v>
      </c>
      <c r="F183" s="1">
        <v>13440</v>
      </c>
      <c r="G183" s="1">
        <f t="shared" si="20"/>
        <v>38.997214484679667</v>
      </c>
      <c r="H183" s="1">
        <v>10892</v>
      </c>
      <c r="I183" s="1">
        <f t="shared" si="21"/>
        <v>31.603992571959147</v>
      </c>
      <c r="J183" s="1">
        <v>4731</v>
      </c>
      <c r="K183" s="1">
        <f t="shared" si="22"/>
        <v>13.727367688022284</v>
      </c>
      <c r="L183" s="1">
        <v>4726</v>
      </c>
      <c r="M183" s="1">
        <f t="shared" si="23"/>
        <v>13.712859795728876</v>
      </c>
      <c r="N183" s="1">
        <f>448+227</f>
        <v>675</v>
      </c>
      <c r="O183" s="1">
        <f t="shared" si="24"/>
        <v>1.9585654596100279</v>
      </c>
      <c r="Q183" s="2">
        <v>1</v>
      </c>
    </row>
    <row r="184" spans="1:17" ht="9.75" customHeight="1" x14ac:dyDescent="0.15">
      <c r="A184" s="5"/>
      <c r="B184" s="5">
        <v>57</v>
      </c>
      <c r="C184" s="5" t="s">
        <v>5</v>
      </c>
      <c r="D184" s="18" t="s">
        <v>184</v>
      </c>
      <c r="E184" s="12">
        <f>E182+E183</f>
        <v>60183</v>
      </c>
      <c r="F184" s="12">
        <f>F182+F183</f>
        <v>29385</v>
      </c>
      <c r="G184" s="12">
        <f t="shared" si="20"/>
        <v>48.826080454613432</v>
      </c>
      <c r="H184" s="12">
        <f>H182+H183</f>
        <v>14674</v>
      </c>
      <c r="I184" s="12">
        <f t="shared" si="21"/>
        <v>24.382300649685128</v>
      </c>
      <c r="J184" s="12">
        <f>J182+J183</f>
        <v>7111</v>
      </c>
      <c r="K184" s="12">
        <f t="shared" si="22"/>
        <v>11.81562899822209</v>
      </c>
      <c r="L184" s="12">
        <f>L182+L183</f>
        <v>7521</v>
      </c>
      <c r="M184" s="12">
        <f t="shared" si="23"/>
        <v>12.496884502268083</v>
      </c>
      <c r="N184" s="12">
        <f>N182+N183</f>
        <v>1492</v>
      </c>
      <c r="O184" s="12">
        <f t="shared" si="24"/>
        <v>2.4791053952112723</v>
      </c>
      <c r="P184" s="13"/>
    </row>
    <row r="185" spans="1:17" ht="9.75" customHeight="1" x14ac:dyDescent="0.15">
      <c r="A185" s="1">
        <v>31</v>
      </c>
      <c r="D185" s="15" t="s">
        <v>185</v>
      </c>
      <c r="E185" s="1">
        <f>F185+H185+J185+L185+N185</f>
        <v>29183</v>
      </c>
      <c r="F185" s="1">
        <v>26883</v>
      </c>
      <c r="G185" s="1">
        <f t="shared" si="20"/>
        <v>92.118699242709795</v>
      </c>
      <c r="H185" s="1">
        <v>524</v>
      </c>
      <c r="I185" s="1">
        <f t="shared" si="21"/>
        <v>1.7955659116608984</v>
      </c>
      <c r="J185" s="1">
        <v>716</v>
      </c>
      <c r="K185" s="1">
        <f t="shared" si="22"/>
        <v>2.4534831922694718</v>
      </c>
      <c r="L185" s="1">
        <v>604</v>
      </c>
      <c r="M185" s="1">
        <f t="shared" si="23"/>
        <v>2.0696981119144708</v>
      </c>
      <c r="N185" s="1">
        <v>456</v>
      </c>
      <c r="O185" s="1">
        <f t="shared" si="24"/>
        <v>1.562553541445362</v>
      </c>
      <c r="Q185" s="2">
        <v>1</v>
      </c>
    </row>
    <row r="186" spans="1:17" ht="9.75" customHeight="1" x14ac:dyDescent="0.15">
      <c r="A186" s="1">
        <v>83</v>
      </c>
      <c r="D186" s="15" t="s">
        <v>186</v>
      </c>
      <c r="E186" s="1">
        <f>F186+H186+J186+L186+N186</f>
        <v>29155</v>
      </c>
      <c r="F186" s="1">
        <v>22336</v>
      </c>
      <c r="G186" s="1">
        <f t="shared" si="20"/>
        <v>76.611215914937404</v>
      </c>
      <c r="H186" s="1">
        <v>1610</v>
      </c>
      <c r="I186" s="1">
        <f t="shared" si="21"/>
        <v>5.5222088835534215</v>
      </c>
      <c r="J186" s="1">
        <v>1649</v>
      </c>
      <c r="K186" s="1">
        <f t="shared" si="22"/>
        <v>5.6559766763848396</v>
      </c>
      <c r="L186" s="1">
        <v>2164</v>
      </c>
      <c r="M186" s="1">
        <f t="shared" si="23"/>
        <v>7.4223975304407475</v>
      </c>
      <c r="N186" s="1">
        <f>1318+78</f>
        <v>1396</v>
      </c>
      <c r="O186" s="1">
        <f t="shared" si="24"/>
        <v>4.7882009946835877</v>
      </c>
      <c r="Q186" s="2">
        <v>1</v>
      </c>
    </row>
    <row r="187" spans="1:17" ht="9.75" customHeight="1" x14ac:dyDescent="0.15">
      <c r="B187" s="1">
        <v>58</v>
      </c>
      <c r="C187" s="5" t="s">
        <v>5</v>
      </c>
      <c r="D187" s="15" t="s">
        <v>187</v>
      </c>
      <c r="E187" s="16">
        <f>E185+E186</f>
        <v>58338</v>
      </c>
      <c r="F187" s="16">
        <f>F185+F186</f>
        <v>49219</v>
      </c>
      <c r="G187" s="16">
        <f t="shared" si="20"/>
        <v>84.368679077102399</v>
      </c>
      <c r="H187" s="16">
        <f>H185+H186</f>
        <v>2134</v>
      </c>
      <c r="I187" s="16">
        <f t="shared" si="21"/>
        <v>3.6579930748397271</v>
      </c>
      <c r="J187" s="16">
        <f>J185+J186</f>
        <v>2365</v>
      </c>
      <c r="K187" s="16">
        <f t="shared" si="22"/>
        <v>4.0539613973739241</v>
      </c>
      <c r="L187" s="16">
        <f>L185+L186</f>
        <v>2768</v>
      </c>
      <c r="M187" s="16">
        <f t="shared" si="23"/>
        <v>4.7447632760807705</v>
      </c>
      <c r="N187" s="16">
        <f>N185+N186</f>
        <v>1852</v>
      </c>
      <c r="O187" s="16">
        <f t="shared" si="24"/>
        <v>3.1746031746031744</v>
      </c>
    </row>
    <row r="188" spans="1:17" ht="9.75" customHeight="1" x14ac:dyDescent="0.15">
      <c r="A188" s="1">
        <v>68</v>
      </c>
      <c r="D188" s="15" t="s">
        <v>188</v>
      </c>
      <c r="E188" s="1">
        <f>F188+H188+J188+L188+N188</f>
        <v>37408</v>
      </c>
      <c r="F188" s="1">
        <v>26344</v>
      </c>
      <c r="G188" s="1">
        <f t="shared" si="20"/>
        <v>70.42343883661249</v>
      </c>
      <c r="H188" s="1">
        <v>5095</v>
      </c>
      <c r="I188" s="1">
        <f t="shared" si="21"/>
        <v>13.62008126603935</v>
      </c>
      <c r="J188" s="1">
        <v>3683</v>
      </c>
      <c r="K188" s="1">
        <f t="shared" si="22"/>
        <v>9.845487596236099</v>
      </c>
      <c r="L188" s="1">
        <v>1491</v>
      </c>
      <c r="M188" s="1">
        <f t="shared" si="23"/>
        <v>3.9857784431137726</v>
      </c>
      <c r="N188" s="1">
        <f>618+177</f>
        <v>795</v>
      </c>
      <c r="O188" s="1">
        <f t="shared" si="24"/>
        <v>2.1252138579982893</v>
      </c>
      <c r="Q188" s="2">
        <v>1</v>
      </c>
    </row>
    <row r="189" spans="1:17" ht="9.75" customHeight="1" x14ac:dyDescent="0.15">
      <c r="A189" s="1">
        <v>122</v>
      </c>
      <c r="D189" s="15" t="s">
        <v>189</v>
      </c>
      <c r="E189" s="1">
        <f>F189+H189+J189+L189+N189</f>
        <v>33972</v>
      </c>
      <c r="F189" s="1">
        <v>17194</v>
      </c>
      <c r="G189" s="1">
        <f t="shared" si="20"/>
        <v>50.612268927351934</v>
      </c>
      <c r="H189" s="1">
        <v>8289</v>
      </c>
      <c r="I189" s="1">
        <f t="shared" si="21"/>
        <v>24.39950547509714</v>
      </c>
      <c r="J189" s="1">
        <v>4152</v>
      </c>
      <c r="K189" s="1">
        <f t="shared" si="22"/>
        <v>12.221829742140587</v>
      </c>
      <c r="L189" s="1">
        <v>3266</v>
      </c>
      <c r="M189" s="1">
        <f t="shared" si="23"/>
        <v>9.6137995996703172</v>
      </c>
      <c r="N189" s="1">
        <f>713+159+157+42</f>
        <v>1071</v>
      </c>
      <c r="O189" s="1">
        <f t="shared" si="24"/>
        <v>3.1525962557400211</v>
      </c>
      <c r="Q189" s="2">
        <v>1</v>
      </c>
    </row>
    <row r="190" spans="1:17" ht="9.75" customHeight="1" x14ac:dyDescent="0.15">
      <c r="B190" s="1">
        <v>59</v>
      </c>
      <c r="C190" s="5" t="s">
        <v>5</v>
      </c>
      <c r="D190" s="15" t="s">
        <v>190</v>
      </c>
      <c r="E190" s="16">
        <f>E188+E189</f>
        <v>71380</v>
      </c>
      <c r="F190" s="16">
        <f>F188+F189</f>
        <v>43538</v>
      </c>
      <c r="G190" s="16">
        <f t="shared" si="20"/>
        <v>60.994676379938355</v>
      </c>
      <c r="H190" s="16">
        <f>H188+H189</f>
        <v>13384</v>
      </c>
      <c r="I190" s="16">
        <f t="shared" si="21"/>
        <v>18.75035023816195</v>
      </c>
      <c r="J190" s="16">
        <f>J188+J189</f>
        <v>7835</v>
      </c>
      <c r="K190" s="16">
        <f t="shared" si="22"/>
        <v>10.976463995516951</v>
      </c>
      <c r="L190" s="16">
        <f>L188+L189</f>
        <v>4757</v>
      </c>
      <c r="M190" s="16">
        <f t="shared" si="23"/>
        <v>6.664331745586999</v>
      </c>
      <c r="N190" s="16">
        <f>N188+N189</f>
        <v>1866</v>
      </c>
      <c r="O190" s="16">
        <f t="shared" si="24"/>
        <v>2.6141776407957411</v>
      </c>
    </row>
    <row r="191" spans="1:17" ht="9.75" customHeight="1" x14ac:dyDescent="0.15">
      <c r="A191" s="1">
        <v>102</v>
      </c>
      <c r="D191" s="15" t="s">
        <v>191</v>
      </c>
      <c r="E191" s="1">
        <f>F191+H191+J191+L191+N191</f>
        <v>37487</v>
      </c>
      <c r="F191" s="1">
        <v>19234</v>
      </c>
      <c r="G191" s="1">
        <f t="shared" si="20"/>
        <v>51.308453597247045</v>
      </c>
      <c r="H191" s="1">
        <v>8505</v>
      </c>
      <c r="I191" s="1">
        <f t="shared" si="21"/>
        <v>22.687865126577215</v>
      </c>
      <c r="J191" s="1">
        <v>4343</v>
      </c>
      <c r="K191" s="1">
        <f t="shared" si="22"/>
        <v>11.585349587857124</v>
      </c>
      <c r="L191" s="1">
        <v>4029</v>
      </c>
      <c r="M191" s="1">
        <f t="shared" si="23"/>
        <v>10.747725878304479</v>
      </c>
      <c r="N191" s="1">
        <f>690+289+224+173</f>
        <v>1376</v>
      </c>
      <c r="O191" s="1">
        <f t="shared" si="24"/>
        <v>3.6706058100141381</v>
      </c>
      <c r="Q191" s="2">
        <v>1</v>
      </c>
    </row>
    <row r="192" spans="1:17" ht="9.75" customHeight="1" x14ac:dyDescent="0.15">
      <c r="A192" s="1">
        <v>125</v>
      </c>
      <c r="D192" s="15" t="s">
        <v>192</v>
      </c>
      <c r="E192" s="1">
        <f>F192+H192+J192+L192+N192</f>
        <v>24395</v>
      </c>
      <c r="F192" s="1">
        <v>20297</v>
      </c>
      <c r="G192" s="1">
        <f t="shared" si="20"/>
        <v>83.201475712236117</v>
      </c>
      <c r="H192" s="1">
        <v>1594</v>
      </c>
      <c r="I192" s="1">
        <f t="shared" si="21"/>
        <v>6.5341258454601352</v>
      </c>
      <c r="J192" s="1">
        <v>0</v>
      </c>
      <c r="K192" s="1">
        <f t="shared" si="22"/>
        <v>0</v>
      </c>
      <c r="L192" s="1">
        <v>1523</v>
      </c>
      <c r="M192" s="1">
        <f t="shared" si="23"/>
        <v>6.2430825988932162</v>
      </c>
      <c r="N192" s="1">
        <v>981</v>
      </c>
      <c r="O192" s="1">
        <f t="shared" si="24"/>
        <v>4.0213158434105347</v>
      </c>
      <c r="Q192" s="2">
        <v>1</v>
      </c>
    </row>
    <row r="193" spans="1:20" ht="9.75" customHeight="1" x14ac:dyDescent="0.15">
      <c r="A193" s="5"/>
      <c r="B193" s="5">
        <v>60</v>
      </c>
      <c r="C193" s="5" t="s">
        <v>5</v>
      </c>
      <c r="D193" s="18" t="s">
        <v>193</v>
      </c>
      <c r="E193" s="12">
        <f>E191+E192</f>
        <v>61882</v>
      </c>
      <c r="F193" s="12">
        <f>F191+F192</f>
        <v>39531</v>
      </c>
      <c r="G193" s="12">
        <f t="shared" si="20"/>
        <v>63.881257877896644</v>
      </c>
      <c r="H193" s="12">
        <f>H191+H192</f>
        <v>10099</v>
      </c>
      <c r="I193" s="12">
        <f t="shared" si="21"/>
        <v>16.319769884619113</v>
      </c>
      <c r="J193" s="12">
        <f>J191+J192</f>
        <v>4343</v>
      </c>
      <c r="K193" s="12">
        <f t="shared" si="22"/>
        <v>7.0181959212695126</v>
      </c>
      <c r="L193" s="12">
        <f>L191+L192</f>
        <v>5552</v>
      </c>
      <c r="M193" s="12">
        <f t="shared" si="23"/>
        <v>8.9719142884845358</v>
      </c>
      <c r="N193" s="12">
        <f>N191+N192</f>
        <v>2357</v>
      </c>
      <c r="O193" s="12">
        <f t="shared" si="24"/>
        <v>3.8088620277301963</v>
      </c>
      <c r="P193" s="13"/>
    </row>
    <row r="194" spans="1:20" ht="9.75" customHeight="1" x14ac:dyDescent="0.2">
      <c r="A194"/>
      <c r="D194" s="28" t="s">
        <v>194</v>
      </c>
      <c r="E194"/>
      <c r="F194"/>
      <c r="G194"/>
      <c r="H194"/>
      <c r="I194"/>
      <c r="J194"/>
      <c r="K194"/>
      <c r="L194"/>
      <c r="M194"/>
      <c r="N194"/>
      <c r="O194"/>
    </row>
    <row r="195" spans="1:20" ht="9.75" customHeight="1" x14ac:dyDescent="0.15">
      <c r="A195" s="1">
        <v>109</v>
      </c>
      <c r="D195" s="15" t="s">
        <v>195</v>
      </c>
      <c r="E195" s="1">
        <f>F195+H195+J195+L195+N195</f>
        <v>39077</v>
      </c>
      <c r="F195" s="1">
        <v>16420</v>
      </c>
      <c r="G195" s="1">
        <f t="shared" ref="G195:G203" si="25">F195*100/$E195</f>
        <v>42.019602323617477</v>
      </c>
      <c r="H195" s="1">
        <v>10701</v>
      </c>
      <c r="I195" s="1">
        <f t="shared" ref="I195:I203" si="26">H195*100/$E195</f>
        <v>27.384394912608439</v>
      </c>
      <c r="J195" s="1">
        <v>9413</v>
      </c>
      <c r="K195" s="1">
        <f t="shared" ref="K195:K203" si="27">J195*100/$E195</f>
        <v>24.088338408782661</v>
      </c>
      <c r="L195" s="1">
        <v>2264</v>
      </c>
      <c r="M195" s="1">
        <f t="shared" ref="M195:M203" si="28">L195*100/$E195</f>
        <v>5.7936893825012152</v>
      </c>
      <c r="N195" s="1">
        <v>279</v>
      </c>
      <c r="O195" s="1">
        <f t="shared" ref="O195:O203" si="29">N195*100/$E195</f>
        <v>0.71397497249021158</v>
      </c>
      <c r="Q195" s="2">
        <v>1</v>
      </c>
    </row>
    <row r="196" spans="1:20" ht="9.75" customHeight="1" x14ac:dyDescent="0.15">
      <c r="A196" s="1">
        <v>36</v>
      </c>
      <c r="D196" s="15" t="s">
        <v>196</v>
      </c>
      <c r="E196" s="1">
        <f>F196+H196+J196+L196+N196</f>
        <v>37277</v>
      </c>
      <c r="F196" s="16">
        <v>20574</v>
      </c>
      <c r="G196" s="1">
        <f t="shared" si="25"/>
        <v>55.192209673525227</v>
      </c>
      <c r="H196" s="16">
        <v>7760</v>
      </c>
      <c r="I196" s="1">
        <f t="shared" si="26"/>
        <v>20.817125841671807</v>
      </c>
      <c r="J196" s="16">
        <v>6635</v>
      </c>
      <c r="K196" s="1">
        <f t="shared" si="27"/>
        <v>17.799179118491296</v>
      </c>
      <c r="L196" s="16">
        <v>2122</v>
      </c>
      <c r="M196" s="1">
        <f t="shared" si="28"/>
        <v>5.692518174745822</v>
      </c>
      <c r="N196" s="16">
        <v>186</v>
      </c>
      <c r="O196" s="1">
        <f t="shared" si="29"/>
        <v>0.4989671915658449</v>
      </c>
      <c r="Q196" s="2">
        <v>1</v>
      </c>
    </row>
    <row r="197" spans="1:20" ht="9.75" customHeight="1" x14ac:dyDescent="0.2">
      <c r="B197" s="1">
        <v>61</v>
      </c>
      <c r="C197" s="5" t="s">
        <v>5</v>
      </c>
      <c r="D197" s="15" t="s">
        <v>197</v>
      </c>
      <c r="E197" s="16">
        <f>E195+E196</f>
        <v>76354</v>
      </c>
      <c r="F197" s="16">
        <f>F195+F196</f>
        <v>36994</v>
      </c>
      <c r="G197" s="16">
        <f t="shared" si="25"/>
        <v>48.450637818581868</v>
      </c>
      <c r="H197" s="16">
        <f>H195+H196</f>
        <v>18461</v>
      </c>
      <c r="I197" s="16">
        <f t="shared" si="26"/>
        <v>24.178170102417685</v>
      </c>
      <c r="J197" s="16">
        <f>J195+J196</f>
        <v>16048</v>
      </c>
      <c r="K197" s="16">
        <f t="shared" si="27"/>
        <v>21.017890352830239</v>
      </c>
      <c r="L197" s="16">
        <f>L195+L196</f>
        <v>4386</v>
      </c>
      <c r="M197" s="16">
        <f t="shared" si="28"/>
        <v>5.7442963040574169</v>
      </c>
      <c r="N197" s="16">
        <f>N195+N196</f>
        <v>465</v>
      </c>
      <c r="O197" s="16">
        <f t="shared" si="29"/>
        <v>0.60900542211279041</v>
      </c>
      <c r="Q197"/>
    </row>
    <row r="198" spans="1:20" ht="9.75" customHeight="1" x14ac:dyDescent="0.15">
      <c r="A198" s="1">
        <v>76</v>
      </c>
      <c r="D198" s="15" t="s">
        <v>198</v>
      </c>
      <c r="E198" s="1">
        <f>F198+H198+J198+L198+N198</f>
        <v>32669</v>
      </c>
      <c r="F198" s="1">
        <v>16500</v>
      </c>
      <c r="G198" s="1">
        <f t="shared" si="25"/>
        <v>50.506596467599252</v>
      </c>
      <c r="H198" s="1">
        <v>8339</v>
      </c>
      <c r="I198" s="1">
        <f t="shared" si="26"/>
        <v>25.525727754140011</v>
      </c>
      <c r="J198" s="1">
        <v>5757</v>
      </c>
      <c r="K198" s="1">
        <f t="shared" si="27"/>
        <v>17.622210658422357</v>
      </c>
      <c r="L198" s="1">
        <v>1545</v>
      </c>
      <c r="M198" s="1">
        <f t="shared" si="28"/>
        <v>4.7292540328752031</v>
      </c>
      <c r="N198" s="1">
        <f>348+97+83</f>
        <v>528</v>
      </c>
      <c r="O198" s="1">
        <f t="shared" si="29"/>
        <v>1.6162110869631761</v>
      </c>
      <c r="Q198" s="2">
        <v>1</v>
      </c>
    </row>
    <row r="199" spans="1:20" ht="9.75" customHeight="1" x14ac:dyDescent="0.15">
      <c r="A199" s="1">
        <v>124</v>
      </c>
      <c r="D199" s="15" t="s">
        <v>199</v>
      </c>
      <c r="E199" s="1">
        <f>F199+H199+J199+L199+N199</f>
        <v>34844</v>
      </c>
      <c r="F199" s="1">
        <v>17582</v>
      </c>
      <c r="G199" s="1">
        <f t="shared" si="25"/>
        <v>50.459189530478703</v>
      </c>
      <c r="H199" s="1">
        <v>8160</v>
      </c>
      <c r="I199" s="1">
        <f t="shared" si="26"/>
        <v>23.418666054413958</v>
      </c>
      <c r="J199" s="1">
        <v>6641</v>
      </c>
      <c r="K199" s="1">
        <f t="shared" si="27"/>
        <v>19.059235449431753</v>
      </c>
      <c r="L199" s="1">
        <v>1676</v>
      </c>
      <c r="M199" s="1">
        <f t="shared" si="28"/>
        <v>4.8100103317644356</v>
      </c>
      <c r="N199" s="1">
        <f>372+192+117+104</f>
        <v>785</v>
      </c>
      <c r="O199" s="1">
        <f t="shared" si="29"/>
        <v>2.2528986339111468</v>
      </c>
      <c r="Q199" s="2">
        <v>1</v>
      </c>
    </row>
    <row r="200" spans="1:20" ht="9.75" customHeight="1" x14ac:dyDescent="0.15">
      <c r="B200" s="1">
        <v>62</v>
      </c>
      <c r="C200" s="5" t="s">
        <v>5</v>
      </c>
      <c r="D200" s="15" t="s">
        <v>200</v>
      </c>
      <c r="E200" s="16">
        <f>E198+E199</f>
        <v>67513</v>
      </c>
      <c r="F200" s="16">
        <f>F198+F199</f>
        <v>34082</v>
      </c>
      <c r="G200" s="16">
        <f t="shared" si="25"/>
        <v>50.482129367677338</v>
      </c>
      <c r="H200" s="16">
        <f>H198+H199</f>
        <v>16499</v>
      </c>
      <c r="I200" s="16">
        <f t="shared" si="26"/>
        <v>24.438256335816806</v>
      </c>
      <c r="J200" s="16">
        <f>J198+J199</f>
        <v>12398</v>
      </c>
      <c r="K200" s="16">
        <f t="shared" si="27"/>
        <v>18.363870661946589</v>
      </c>
      <c r="L200" s="16">
        <f>L198+L199</f>
        <v>3221</v>
      </c>
      <c r="M200" s="16">
        <f t="shared" si="28"/>
        <v>4.7709330054952384</v>
      </c>
      <c r="N200" s="16">
        <f>N198+N199</f>
        <v>1313</v>
      </c>
      <c r="O200" s="16">
        <f t="shared" si="29"/>
        <v>1.9448106290640321</v>
      </c>
    </row>
    <row r="201" spans="1:20" ht="9.75" customHeight="1" x14ac:dyDescent="0.15">
      <c r="A201" s="1">
        <v>63</v>
      </c>
      <c r="D201" s="15" t="s">
        <v>201</v>
      </c>
      <c r="E201" s="1">
        <f>F201+H201+J201+L201+N201</f>
        <v>38325</v>
      </c>
      <c r="F201" s="1">
        <v>16918</v>
      </c>
      <c r="G201" s="1">
        <f t="shared" si="25"/>
        <v>44.143509458577952</v>
      </c>
      <c r="H201" s="1">
        <v>11893</v>
      </c>
      <c r="I201" s="1">
        <f t="shared" si="26"/>
        <v>31.031963470319635</v>
      </c>
      <c r="J201" s="1">
        <v>6560</v>
      </c>
      <c r="K201" s="1">
        <f t="shared" si="27"/>
        <v>17.116764514024787</v>
      </c>
      <c r="L201" s="1">
        <v>2246</v>
      </c>
      <c r="M201" s="1">
        <f t="shared" si="28"/>
        <v>5.8604044357469016</v>
      </c>
      <c r="N201" s="1">
        <f>520+188</f>
        <v>708</v>
      </c>
      <c r="O201" s="1">
        <f t="shared" si="29"/>
        <v>1.847358121330724</v>
      </c>
      <c r="Q201" s="2">
        <v>1</v>
      </c>
    </row>
    <row r="202" spans="1:20" ht="9.75" customHeight="1" x14ac:dyDescent="0.15">
      <c r="A202" s="1">
        <v>27</v>
      </c>
      <c r="D202" s="15" t="s">
        <v>202</v>
      </c>
      <c r="E202" s="1">
        <f>F202+H202+J202+L202+N202</f>
        <v>41780</v>
      </c>
      <c r="F202" s="1">
        <v>30468</v>
      </c>
      <c r="G202" s="1">
        <f t="shared" si="25"/>
        <v>72.924844423168977</v>
      </c>
      <c r="H202" s="1">
        <v>4818</v>
      </c>
      <c r="I202" s="1">
        <f t="shared" si="26"/>
        <v>11.531833413116324</v>
      </c>
      <c r="J202" s="1">
        <v>4658</v>
      </c>
      <c r="K202" s="1">
        <f t="shared" si="27"/>
        <v>11.148875059837243</v>
      </c>
      <c r="L202" s="1">
        <v>1164</v>
      </c>
      <c r="M202" s="1">
        <f t="shared" si="28"/>
        <v>2.7860220201053134</v>
      </c>
      <c r="N202" s="1">
        <f>349+193+130</f>
        <v>672</v>
      </c>
      <c r="O202" s="1">
        <f t="shared" si="29"/>
        <v>1.6084250837721399</v>
      </c>
      <c r="Q202" s="2">
        <v>1</v>
      </c>
    </row>
    <row r="203" spans="1:20" ht="9.75" customHeight="1" x14ac:dyDescent="0.15">
      <c r="A203" s="5"/>
      <c r="B203" s="5">
        <v>63</v>
      </c>
      <c r="C203" s="5" t="s">
        <v>5</v>
      </c>
      <c r="D203" s="18" t="s">
        <v>203</v>
      </c>
      <c r="E203" s="12">
        <f>E201+E202</f>
        <v>80105</v>
      </c>
      <c r="F203" s="12">
        <f>F201+F202</f>
        <v>47386</v>
      </c>
      <c r="G203" s="12">
        <f t="shared" si="25"/>
        <v>59.154859247238001</v>
      </c>
      <c r="H203" s="12">
        <f>H201+H202</f>
        <v>16711</v>
      </c>
      <c r="I203" s="12">
        <f t="shared" si="26"/>
        <v>20.861369452593472</v>
      </c>
      <c r="J203" s="12">
        <f>J201+J202</f>
        <v>11218</v>
      </c>
      <c r="K203" s="12">
        <f t="shared" si="27"/>
        <v>14.004119593034142</v>
      </c>
      <c r="L203" s="12">
        <f>L201+L202</f>
        <v>3410</v>
      </c>
      <c r="M203" s="12">
        <f t="shared" si="28"/>
        <v>4.2569128019474443</v>
      </c>
      <c r="N203" s="12">
        <f>N201+N202</f>
        <v>1380</v>
      </c>
      <c r="O203" s="12">
        <f t="shared" si="29"/>
        <v>1.7227389051869422</v>
      </c>
      <c r="P203" s="13"/>
    </row>
    <row r="204" spans="1:20" ht="9.75" customHeight="1" x14ac:dyDescent="0.15">
      <c r="F204" s="34"/>
      <c r="G204" s="34"/>
    </row>
    <row r="205" spans="1:20" ht="9.75" customHeight="1" x14ac:dyDescent="0.15">
      <c r="D205" s="1" t="s">
        <v>364</v>
      </c>
      <c r="E205" s="138">
        <f>+SUM(E5:E203)/2+E3</f>
        <v>4211342</v>
      </c>
      <c r="F205" s="138">
        <f>+SUM(F5:F203)/2+F3</f>
        <v>1755139</v>
      </c>
      <c r="G205" s="139">
        <f>F205*100/$E205</f>
        <v>41.676477474401274</v>
      </c>
      <c r="H205" s="138">
        <f>+SUM(H5:H203)/2+H3</f>
        <v>1072662</v>
      </c>
      <c r="I205" s="139">
        <f>H205*100/$E205</f>
        <v>25.470788171561463</v>
      </c>
      <c r="J205" s="138">
        <f>+SUM(J5:J203)/2+J3</f>
        <v>975046</v>
      </c>
      <c r="K205" s="139">
        <f>J205*100/$E205</f>
        <v>23.152857212736464</v>
      </c>
      <c r="L205" s="138">
        <f>+SUM(L5:L203)/2+L3</f>
        <v>320694</v>
      </c>
      <c r="M205" s="139">
        <f>L205*100/$E205</f>
        <v>7.6150072827141564</v>
      </c>
      <c r="N205" s="138">
        <f>+SUM(N5:N203)/2+N3</f>
        <v>100483</v>
      </c>
      <c r="O205" s="139">
        <f>N205*100/$E205</f>
        <v>2.3860090204025224</v>
      </c>
    </row>
    <row r="207" spans="1:20" ht="9.75" customHeight="1" x14ac:dyDescent="0.15">
      <c r="D207" s="1" t="s">
        <v>366</v>
      </c>
      <c r="F207" s="1">
        <f>+ANALYSIS!D29</f>
        <v>70</v>
      </c>
      <c r="H207" s="1">
        <f>+ANALYSIS!E29</f>
        <v>30</v>
      </c>
      <c r="J207" s="1">
        <f>+ANALYSIS!F29</f>
        <v>22</v>
      </c>
      <c r="L207" s="1">
        <f>+ANALYSIS!G29</f>
        <v>3</v>
      </c>
      <c r="Q207" s="2">
        <f>+SUM(Q3:Q203)</f>
        <v>70</v>
      </c>
      <c r="R207" s="2">
        <f>+SUM(R3:R203)</f>
        <v>30</v>
      </c>
      <c r="S207" s="2">
        <f t="shared" ref="S207:T207" si="30">+SUM(S3:S203)</f>
        <v>22</v>
      </c>
      <c r="T207" s="2">
        <f t="shared" si="30"/>
        <v>3</v>
      </c>
    </row>
    <row r="208" spans="1:20" ht="9.75" customHeight="1" x14ac:dyDescent="0.15">
      <c r="D208" s="22" t="s">
        <v>365</v>
      </c>
      <c r="E208" s="22"/>
      <c r="F208" s="140">
        <f>+SUMIF(Q3:Q203,"=1",F3:F203)</f>
        <v>1257735</v>
      </c>
      <c r="G208" s="22"/>
      <c r="H208" s="140">
        <f>+SUMIF(R3:R203,"=1",H3:H203)</f>
        <v>382083</v>
      </c>
      <c r="J208" s="140">
        <f>+SUMIF(S3:S203,"=1",J3:J203)</f>
        <v>339095</v>
      </c>
      <c r="L208" s="140">
        <f>+SUMIF(T3:T203,"=1",L3:L203)</f>
        <v>37720</v>
      </c>
    </row>
    <row r="209" spans="1:12" ht="9.75" customHeight="1" x14ac:dyDescent="0.15">
      <c r="D209" s="22" t="s">
        <v>379</v>
      </c>
      <c r="E209" s="22"/>
      <c r="F209" s="141">
        <f>+F208/$E$205</f>
        <v>0.29865420571399803</v>
      </c>
      <c r="G209" s="22"/>
      <c r="H209" s="141">
        <f>+H208/$E$205</f>
        <v>9.0727136385503712E-2</v>
      </c>
      <c r="J209" s="141">
        <f>+J208/$E$205</f>
        <v>8.0519463866862387E-2</v>
      </c>
      <c r="L209" s="141">
        <f>+L208/$E$205</f>
        <v>8.9567648507292933E-3</v>
      </c>
    </row>
    <row r="210" spans="1:12" ht="9.75" customHeight="1" x14ac:dyDescent="0.15">
      <c r="D210" s="22" t="s">
        <v>367</v>
      </c>
      <c r="E210" s="22"/>
      <c r="F210" s="141">
        <f>+F208/F205</f>
        <v>0.71660136319687495</v>
      </c>
      <c r="G210" s="22"/>
      <c r="H210" s="141">
        <f>+H208/H205</f>
        <v>0.35620074170614791</v>
      </c>
      <c r="J210" s="141">
        <f>+J208/J205</f>
        <v>0.34777333582210479</v>
      </c>
      <c r="L210" s="141">
        <f>+L208/L205</f>
        <v>0.11761991181624851</v>
      </c>
    </row>
    <row r="211" spans="1:12" ht="9.75" customHeight="1" x14ac:dyDescent="0.15">
      <c r="D211" s="1" t="s">
        <v>368</v>
      </c>
      <c r="F211" s="137">
        <f>+F208/F207</f>
        <v>17967.642857142859</v>
      </c>
      <c r="H211" s="137">
        <f>+H208/H207</f>
        <v>12736.1</v>
      </c>
      <c r="J211" s="137">
        <f>+J208/J207</f>
        <v>15413.40909090909</v>
      </c>
      <c r="L211" s="137">
        <f>+L208/L207</f>
        <v>12573.333333333334</v>
      </c>
    </row>
    <row r="213" spans="1:12" ht="9.75" customHeight="1" x14ac:dyDescent="0.15">
      <c r="A213" s="2" t="s">
        <v>371</v>
      </c>
    </row>
    <row r="214" spans="1:12" ht="9.75" customHeight="1" x14ac:dyDescent="0.15">
      <c r="A214" s="2" t="s">
        <v>372</v>
      </c>
    </row>
    <row r="215" spans="1:12" ht="9.75" customHeight="1" x14ac:dyDescent="0.15">
      <c r="A215" s="2" t="s">
        <v>369</v>
      </c>
    </row>
    <row r="216" spans="1:12" ht="9.75" customHeight="1" x14ac:dyDescent="0.15">
      <c r="A216" s="2"/>
    </row>
    <row r="217" spans="1:12" ht="9.75" customHeight="1" x14ac:dyDescent="0.15">
      <c r="A217" s="2" t="s">
        <v>370</v>
      </c>
    </row>
    <row r="218" spans="1:12" ht="9.75" customHeight="1" x14ac:dyDescent="0.15">
      <c r="A218" s="2" t="s">
        <v>373</v>
      </c>
    </row>
    <row r="219" spans="1:12" ht="9.75" customHeight="1" x14ac:dyDescent="0.15">
      <c r="E219" s="1" t="str">
        <f>+F2</f>
        <v>LIB</v>
      </c>
      <c r="F219" s="142">
        <f>+F210</f>
        <v>0.71660136319687495</v>
      </c>
    </row>
    <row r="220" spans="1:12" ht="9.75" customHeight="1" x14ac:dyDescent="0.15">
      <c r="E220" s="1" t="str">
        <f>+H2</f>
        <v>PQ</v>
      </c>
      <c r="F220" s="142">
        <f>+H210</f>
        <v>0.35620074170614791</v>
      </c>
    </row>
    <row r="221" spans="1:12" ht="9.75" customHeight="1" x14ac:dyDescent="0.15">
      <c r="E221" s="1" t="str">
        <f>+J2</f>
        <v>CAQ</v>
      </c>
      <c r="F221" s="142">
        <f>+J210</f>
        <v>0.34777333582210479</v>
      </c>
    </row>
    <row r="222" spans="1:12" ht="9.75" customHeight="1" x14ac:dyDescent="0.15">
      <c r="E222" s="1" t="str">
        <f>+L2</f>
        <v>QS</v>
      </c>
      <c r="F222" s="142">
        <f>+L210</f>
        <v>0.11761991181624851</v>
      </c>
    </row>
  </sheetData>
  <sheetProtection selectLockedCells="1" selectUnlockedCells="1"/>
  <pageMargins left="0.78749999999999998" right="0.78749999999999998" top="0.78749999999999998" bottom="1.0527777777777778" header="0.51180555555555551" footer="0.78749999999999998"/>
  <pageSetup orientation="portrait" useFirstPageNumber="1" horizontalDpi="300" verticalDpi="300" r:id="rId1"/>
  <headerFooter alignWithMargins="0">
    <oddFooter>&amp;C&amp;"Times New Roman,Regular"&amp;12Page &amp;P</oddFooter>
  </headerFooter>
  <rowBreaks count="4" manualBreakCount="4">
    <brk id="58" max="16383" man="1"/>
    <brk id="80" max="16383" man="1"/>
    <brk id="144" max="16383" man="1"/>
    <brk id="21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50" zoomScaleNormal="150" workbookViewId="0">
      <pane ySplit="4" topLeftCell="A11" activePane="bottomLeft" state="frozen"/>
      <selection pane="bottomLeft" activeCell="E26" sqref="E26:E32"/>
    </sheetView>
  </sheetViews>
  <sheetFormatPr defaultColWidth="11.5703125" defaultRowHeight="11.45" customHeight="1" x14ac:dyDescent="0.2"/>
  <cols>
    <col min="1" max="1" width="5.5703125" customWidth="1"/>
    <col min="2" max="3" width="5.140625" customWidth="1"/>
    <col min="4" max="4" width="16.5703125" customWidth="1"/>
    <col min="5" max="5" width="6" customWidth="1"/>
    <col min="6" max="8" width="5" customWidth="1"/>
    <col min="9" max="9" width="5.7109375" customWidth="1"/>
    <col min="10" max="15" width="5" customWidth="1"/>
  </cols>
  <sheetData>
    <row r="1" spans="1:15" ht="12.75" customHeight="1" x14ac:dyDescent="0.2">
      <c r="A1" t="s">
        <v>331</v>
      </c>
    </row>
    <row r="2" spans="1:15" ht="12.75" customHeight="1" x14ac:dyDescent="0.2">
      <c r="A2" s="35" t="s">
        <v>217</v>
      </c>
    </row>
    <row r="3" spans="1:15" ht="12.75" customHeight="1" x14ac:dyDescent="0.2">
      <c r="E3" s="35" t="s">
        <v>205</v>
      </c>
    </row>
    <row r="4" spans="1:15" ht="12.75" customHeight="1" x14ac:dyDescent="0.2">
      <c r="A4" s="36" t="s">
        <v>206</v>
      </c>
      <c r="B4" s="36" t="s">
        <v>207</v>
      </c>
      <c r="C4" s="36" t="s">
        <v>208</v>
      </c>
      <c r="D4" s="37" t="s">
        <v>209</v>
      </c>
      <c r="E4" s="6" t="s">
        <v>4</v>
      </c>
      <c r="F4" s="7" t="s">
        <v>5</v>
      </c>
      <c r="G4" s="7" t="s">
        <v>6</v>
      </c>
      <c r="H4" s="8" t="s">
        <v>7</v>
      </c>
      <c r="I4" s="8" t="s">
        <v>6</v>
      </c>
      <c r="J4" s="9" t="s">
        <v>8</v>
      </c>
      <c r="K4" s="9" t="s">
        <v>6</v>
      </c>
      <c r="L4" s="10" t="s">
        <v>9</v>
      </c>
      <c r="M4" s="10" t="s">
        <v>6</v>
      </c>
      <c r="N4" s="6" t="s">
        <v>10</v>
      </c>
      <c r="O4" s="6" t="s">
        <v>6</v>
      </c>
    </row>
    <row r="5" spans="1:15" ht="11.45" customHeight="1" x14ac:dyDescent="0.2">
      <c r="A5" s="1">
        <v>13</v>
      </c>
      <c r="B5" s="1"/>
      <c r="C5" s="1"/>
      <c r="D5" s="20" t="s">
        <v>59</v>
      </c>
      <c r="E5" s="1">
        <f>F5+H5+J5+L5+N5</f>
        <v>44449</v>
      </c>
      <c r="F5" s="1">
        <v>13118</v>
      </c>
      <c r="G5" s="1">
        <f t="shared" ref="G5:G13" si="0">F5*100/$E5</f>
        <v>29.512474971315442</v>
      </c>
      <c r="H5" s="1">
        <v>13046</v>
      </c>
      <c r="I5" s="1">
        <f t="shared" ref="I5:I13" si="1">H5*100/$E5</f>
        <v>29.350491574613603</v>
      </c>
      <c r="J5" s="1">
        <v>15075</v>
      </c>
      <c r="K5" s="1">
        <f t="shared" ref="K5:K13" si="2">J5*100/$E5</f>
        <v>33.915273684447342</v>
      </c>
      <c r="L5" s="1">
        <v>2898</v>
      </c>
      <c r="M5" s="1">
        <f t="shared" ref="M5:M13" si="3">L5*100/$E5</f>
        <v>6.5198317172489819</v>
      </c>
      <c r="N5" s="1">
        <v>312</v>
      </c>
      <c r="O5" s="1">
        <f t="shared" ref="O5:O13" si="4">N5*100/$E5</f>
        <v>0.70192805237463163</v>
      </c>
    </row>
    <row r="6" spans="1:15" ht="11.45" customHeight="1" x14ac:dyDescent="0.2">
      <c r="A6" s="1">
        <v>77</v>
      </c>
      <c r="B6" s="1"/>
      <c r="C6" s="1"/>
      <c r="D6" s="20" t="s">
        <v>60</v>
      </c>
      <c r="E6" s="1">
        <f>F6+H6+J6+L6+N6</f>
        <v>41689</v>
      </c>
      <c r="F6" s="1">
        <v>8068</v>
      </c>
      <c r="G6" s="1">
        <f t="shared" si="0"/>
        <v>19.352826884789753</v>
      </c>
      <c r="H6" s="1">
        <v>14290</v>
      </c>
      <c r="I6" s="1">
        <f t="shared" si="1"/>
        <v>34.277627191825182</v>
      </c>
      <c r="J6" s="1">
        <v>16359</v>
      </c>
      <c r="K6" s="1">
        <f t="shared" si="2"/>
        <v>39.240567056057955</v>
      </c>
      <c r="L6" s="1">
        <v>2543</v>
      </c>
      <c r="M6" s="1">
        <f t="shared" si="3"/>
        <v>6.0999304372856153</v>
      </c>
      <c r="N6" s="1">
        <v>429</v>
      </c>
      <c r="O6" s="1">
        <f t="shared" si="4"/>
        <v>1.0290484300414977</v>
      </c>
    </row>
    <row r="7" spans="1:15" ht="11.45" customHeight="1" x14ac:dyDescent="0.2">
      <c r="A7" s="1"/>
      <c r="B7" s="1">
        <v>17</v>
      </c>
      <c r="C7" s="1" t="s">
        <v>8</v>
      </c>
      <c r="D7" s="20" t="s">
        <v>61</v>
      </c>
      <c r="E7" s="16">
        <f>E5+E6</f>
        <v>86138</v>
      </c>
      <c r="F7" s="16">
        <f>F5+F6</f>
        <v>21186</v>
      </c>
      <c r="G7" s="16">
        <f t="shared" si="0"/>
        <v>24.595416656992267</v>
      </c>
      <c r="H7" s="16">
        <f>H5+H6</f>
        <v>27336</v>
      </c>
      <c r="I7" s="16">
        <f t="shared" si="1"/>
        <v>31.735122710069888</v>
      </c>
      <c r="J7" s="16">
        <f>J5+J6</f>
        <v>31434</v>
      </c>
      <c r="K7" s="16">
        <f t="shared" si="2"/>
        <v>36.492604889827952</v>
      </c>
      <c r="L7" s="16">
        <f>L5+L6</f>
        <v>5441</v>
      </c>
      <c r="M7" s="16">
        <f t="shared" si="3"/>
        <v>6.3166082333000535</v>
      </c>
      <c r="N7" s="16">
        <f>N5+N6</f>
        <v>741</v>
      </c>
      <c r="O7" s="16">
        <f t="shared" si="4"/>
        <v>0.86024750980983999</v>
      </c>
    </row>
    <row r="8" spans="1:15" ht="11.45" customHeight="1" x14ac:dyDescent="0.2">
      <c r="A8" s="1">
        <v>72</v>
      </c>
      <c r="B8" s="1"/>
      <c r="C8" s="1"/>
      <c r="D8" s="20" t="s">
        <v>62</v>
      </c>
      <c r="E8" s="1">
        <f>F8+H8+J8+L8+N8</f>
        <v>34511</v>
      </c>
      <c r="F8" s="1">
        <v>5869</v>
      </c>
      <c r="G8" s="1">
        <f t="shared" si="0"/>
        <v>17.006171945176899</v>
      </c>
      <c r="H8" s="1">
        <v>12701</v>
      </c>
      <c r="I8" s="1">
        <f t="shared" si="1"/>
        <v>36.802758540755121</v>
      </c>
      <c r="J8" s="1">
        <v>13235</v>
      </c>
      <c r="K8" s="1">
        <f t="shared" si="2"/>
        <v>38.350091275245575</v>
      </c>
      <c r="L8" s="1">
        <v>2168</v>
      </c>
      <c r="M8" s="1">
        <f t="shared" si="3"/>
        <v>6.2820549969574921</v>
      </c>
      <c r="N8" s="1">
        <f>289+249</f>
        <v>538</v>
      </c>
      <c r="O8" s="1">
        <f t="shared" si="4"/>
        <v>1.5589232418649126</v>
      </c>
    </row>
    <row r="9" spans="1:15" ht="11.45" customHeight="1" x14ac:dyDescent="0.2">
      <c r="A9" s="1">
        <v>115</v>
      </c>
      <c r="B9" s="1"/>
      <c r="C9" s="1"/>
      <c r="D9" s="17" t="s">
        <v>63</v>
      </c>
      <c r="E9" s="1">
        <f>F9+H9+J9+L9+N9</f>
        <v>39881</v>
      </c>
      <c r="F9" s="1">
        <v>8770</v>
      </c>
      <c r="G9" s="1">
        <f t="shared" si="0"/>
        <v>21.990421503974325</v>
      </c>
      <c r="H9" s="1">
        <v>14450</v>
      </c>
      <c r="I9" s="1">
        <f t="shared" si="1"/>
        <v>36.232792557859632</v>
      </c>
      <c r="J9" s="1">
        <v>13707</v>
      </c>
      <c r="K9" s="1">
        <f t="shared" si="2"/>
        <v>34.369750006268646</v>
      </c>
      <c r="L9" s="1">
        <v>2543</v>
      </c>
      <c r="M9" s="1">
        <f t="shared" si="3"/>
        <v>6.3764699982447786</v>
      </c>
      <c r="N9" s="1">
        <v>411</v>
      </c>
      <c r="O9" s="1">
        <f t="shared" si="4"/>
        <v>1.0305659336526165</v>
      </c>
    </row>
    <row r="10" spans="1:15" ht="11.45" customHeight="1" x14ac:dyDescent="0.2">
      <c r="B10" s="1">
        <v>18</v>
      </c>
      <c r="C10" s="1" t="s">
        <v>7</v>
      </c>
      <c r="D10" s="17" t="s">
        <v>64</v>
      </c>
      <c r="E10" s="16">
        <f>E8+E9</f>
        <v>74392</v>
      </c>
      <c r="F10" s="16">
        <f>F8+F9</f>
        <v>14639</v>
      </c>
      <c r="G10" s="16">
        <f t="shared" si="0"/>
        <v>19.678191203355201</v>
      </c>
      <c r="H10" s="16">
        <f>H8+H9</f>
        <v>27151</v>
      </c>
      <c r="I10" s="16">
        <f t="shared" si="1"/>
        <v>36.497204000430152</v>
      </c>
      <c r="J10" s="16">
        <f>J8+J9</f>
        <v>26942</v>
      </c>
      <c r="K10" s="16">
        <f t="shared" si="2"/>
        <v>36.216259812883109</v>
      </c>
      <c r="L10" s="16">
        <f>L8+L9</f>
        <v>4711</v>
      </c>
      <c r="M10" s="16">
        <f t="shared" si="3"/>
        <v>6.3326701795892033</v>
      </c>
      <c r="N10" s="16">
        <f>N8+N9</f>
        <v>949</v>
      </c>
      <c r="O10" s="16">
        <f t="shared" si="4"/>
        <v>1.275674803742338</v>
      </c>
    </row>
    <row r="11" spans="1:15" ht="11.45" customHeight="1" x14ac:dyDescent="0.2">
      <c r="A11" s="1">
        <v>41</v>
      </c>
      <c r="B11" s="1"/>
      <c r="C11" s="1"/>
      <c r="D11" s="20" t="s">
        <v>65</v>
      </c>
      <c r="E11" s="1">
        <f>F11+H11+J11+L11+N11</f>
        <v>41387</v>
      </c>
      <c r="F11" s="1">
        <v>12513</v>
      </c>
      <c r="G11" s="1">
        <f t="shared" si="0"/>
        <v>30.234131490564671</v>
      </c>
      <c r="H11" s="1">
        <v>12413</v>
      </c>
      <c r="I11" s="1">
        <f t="shared" si="1"/>
        <v>29.992509725276054</v>
      </c>
      <c r="J11" s="1">
        <v>12773</v>
      </c>
      <c r="K11" s="1">
        <f t="shared" si="2"/>
        <v>30.862348080315076</v>
      </c>
      <c r="L11" s="1">
        <v>2809</v>
      </c>
      <c r="M11" s="1">
        <f t="shared" si="3"/>
        <v>6.7871553869572567</v>
      </c>
      <c r="N11" s="1">
        <f>493+386</f>
        <v>879</v>
      </c>
      <c r="O11" s="1">
        <f t="shared" si="4"/>
        <v>2.123855316886945</v>
      </c>
    </row>
    <row r="12" spans="1:15" ht="11.45" customHeight="1" x14ac:dyDescent="0.2">
      <c r="A12" s="1">
        <v>32</v>
      </c>
      <c r="B12" s="1"/>
      <c r="C12" s="1"/>
      <c r="D12" s="20" t="s">
        <v>66</v>
      </c>
      <c r="E12" s="1">
        <f>F12+H12+J12+L12+N12</f>
        <v>34714</v>
      </c>
      <c r="F12" s="1">
        <v>8913</v>
      </c>
      <c r="G12" s="1">
        <f t="shared" si="0"/>
        <v>25.675519963127268</v>
      </c>
      <c r="H12" s="1">
        <v>11107</v>
      </c>
      <c r="I12" s="1">
        <f t="shared" si="1"/>
        <v>31.995736590424613</v>
      </c>
      <c r="J12" s="1">
        <v>11838</v>
      </c>
      <c r="K12" s="1">
        <f t="shared" si="2"/>
        <v>34.101515238808553</v>
      </c>
      <c r="L12" s="1">
        <v>2326</v>
      </c>
      <c r="M12" s="1">
        <f t="shared" si="3"/>
        <v>6.7004666705075762</v>
      </c>
      <c r="N12" s="1">
        <f>297+233</f>
        <v>530</v>
      </c>
      <c r="O12" s="1">
        <f t="shared" si="4"/>
        <v>1.5267615371319929</v>
      </c>
    </row>
    <row r="13" spans="1:15" ht="11.45" customHeight="1" x14ac:dyDescent="0.2">
      <c r="A13" s="1"/>
      <c r="B13" s="1">
        <v>19</v>
      </c>
      <c r="C13" s="1" t="s">
        <v>8</v>
      </c>
      <c r="D13" s="20" t="s">
        <v>67</v>
      </c>
      <c r="E13" s="16">
        <f>E11+E12</f>
        <v>76101</v>
      </c>
      <c r="F13" s="16">
        <f>F11+F12</f>
        <v>21426</v>
      </c>
      <c r="G13" s="16">
        <f t="shared" si="0"/>
        <v>28.154689163085898</v>
      </c>
      <c r="H13" s="16">
        <f>H11+H12</f>
        <v>23520</v>
      </c>
      <c r="I13" s="16">
        <f t="shared" si="1"/>
        <v>30.906295580872786</v>
      </c>
      <c r="J13" s="16">
        <f>J11+J12</f>
        <v>24611</v>
      </c>
      <c r="K13" s="16">
        <f t="shared" si="2"/>
        <v>32.339916689662424</v>
      </c>
      <c r="L13" s="16">
        <f>L11+L12</f>
        <v>5135</v>
      </c>
      <c r="M13" s="16">
        <f t="shared" si="3"/>
        <v>6.7476117265213338</v>
      </c>
      <c r="N13" s="16">
        <f>N11+N12</f>
        <v>1409</v>
      </c>
      <c r="O13" s="16">
        <f t="shared" si="4"/>
        <v>1.8514868398575577</v>
      </c>
    </row>
    <row r="14" spans="1:15" ht="11.45" customHeight="1" x14ac:dyDescent="0.2">
      <c r="A14" s="1"/>
      <c r="B14" s="1"/>
      <c r="C14" s="1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11.45" customHeight="1" x14ac:dyDescent="0.2">
      <c r="A15" s="1"/>
      <c r="B15" s="1"/>
      <c r="C15" s="1"/>
      <c r="D15" s="20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1.45" customHeight="1" x14ac:dyDescent="0.2">
      <c r="A16" s="1"/>
      <c r="B16" s="1"/>
      <c r="C16" s="1"/>
      <c r="D16" s="20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21" spans="1:15" ht="11.45" customHeight="1" x14ac:dyDescent="0.2">
      <c r="A21" t="s">
        <v>210</v>
      </c>
    </row>
    <row r="22" spans="1:15" ht="11.45" customHeight="1" x14ac:dyDescent="0.2">
      <c r="A22" s="55" t="s">
        <v>231</v>
      </c>
      <c r="B22" s="39"/>
      <c r="C22" s="39"/>
      <c r="D22" s="39"/>
      <c r="E22" s="51">
        <v>6</v>
      </c>
      <c r="F22" s="51">
        <v>0</v>
      </c>
      <c r="G22" s="39"/>
      <c r="H22" s="38">
        <v>1</v>
      </c>
      <c r="I22" s="38"/>
      <c r="J22" s="38">
        <v>5</v>
      </c>
      <c r="K22" s="38"/>
      <c r="L22" s="38">
        <v>0</v>
      </c>
      <c r="M22" s="39"/>
      <c r="N22" s="39"/>
      <c r="O22" s="39"/>
    </row>
    <row r="23" spans="1:15" ht="11.45" customHeight="1" x14ac:dyDescent="0.2">
      <c r="A23" s="55" t="s">
        <v>232</v>
      </c>
      <c r="B23" s="39"/>
      <c r="C23" s="39"/>
      <c r="D23" s="39"/>
      <c r="E23" s="46">
        <f>E7+E10+E13+E16+E19</f>
        <v>236631</v>
      </c>
      <c r="F23" s="46">
        <f>F7+F10+F13+F16+F19</f>
        <v>57251</v>
      </c>
      <c r="G23" s="46">
        <f>F23*100/$E23</f>
        <v>24.194209549889912</v>
      </c>
      <c r="H23" s="46">
        <f>H7+H10+H13+H16+H19</f>
        <v>78007</v>
      </c>
      <c r="I23" s="46">
        <f>H23*100/$E23</f>
        <v>32.965672291458006</v>
      </c>
      <c r="J23" s="46">
        <f>J7+J10+J13+J16+J19</f>
        <v>82987</v>
      </c>
      <c r="K23" s="46">
        <f>J23*100/$E23</f>
        <v>35.070214807020214</v>
      </c>
      <c r="L23" s="46">
        <f>L7+L10+L13+L16+L19</f>
        <v>15287</v>
      </c>
      <c r="M23" s="46">
        <f>L23*100/$E23</f>
        <v>6.4602693645380356</v>
      </c>
      <c r="N23" s="46">
        <f>N7+N10+N13+N16+N19</f>
        <v>3099</v>
      </c>
      <c r="O23" s="46">
        <f>N23*100/$E23</f>
        <v>1.3096339870938296</v>
      </c>
    </row>
    <row r="24" spans="1:15" s="28" customFormat="1" ht="11.45" customHeight="1" x14ac:dyDescent="0.2">
      <c r="A24" s="55"/>
      <c r="B24" s="39"/>
      <c r="C24" s="39"/>
      <c r="D24" s="3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11.45" customHeight="1" x14ac:dyDescent="0.2">
      <c r="A25" s="55" t="s">
        <v>241</v>
      </c>
      <c r="B25" s="39"/>
      <c r="C25" s="39"/>
      <c r="D25" s="3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1.45" customHeight="1" x14ac:dyDescent="0.2">
      <c r="A26" s="38" t="s">
        <v>233</v>
      </c>
      <c r="B26" s="39"/>
      <c r="C26" s="39"/>
      <c r="D26" s="39"/>
      <c r="E26" s="38">
        <f>F26+H26+J26+L26+N26</f>
        <v>3</v>
      </c>
      <c r="F26" s="38">
        <v>0</v>
      </c>
      <c r="G26" s="39"/>
      <c r="H26" s="38">
        <v>1</v>
      </c>
      <c r="I26" s="39"/>
      <c r="J26" s="38">
        <v>2</v>
      </c>
      <c r="K26" s="39"/>
      <c r="L26" s="38">
        <v>0</v>
      </c>
      <c r="M26" s="39"/>
      <c r="N26" s="38">
        <v>0</v>
      </c>
      <c r="O26" s="39"/>
    </row>
    <row r="27" spans="1:15" ht="11.45" customHeight="1" x14ac:dyDescent="0.2">
      <c r="A27" s="38" t="s">
        <v>234</v>
      </c>
      <c r="B27" s="39"/>
      <c r="C27" s="39"/>
      <c r="D27" s="39"/>
      <c r="E27" s="38">
        <f>F27+H27+J27+L27+N27</f>
        <v>1</v>
      </c>
      <c r="F27" s="38">
        <v>1</v>
      </c>
      <c r="G27" s="39"/>
      <c r="H27" s="38">
        <v>0</v>
      </c>
      <c r="I27" s="39"/>
      <c r="J27" s="38">
        <v>0</v>
      </c>
      <c r="K27" s="39"/>
      <c r="L27" s="38">
        <v>0</v>
      </c>
      <c r="M27" s="39"/>
      <c r="N27" s="38">
        <v>0</v>
      </c>
      <c r="O27" s="39"/>
    </row>
    <row r="28" spans="1:15" ht="11.45" customHeight="1" x14ac:dyDescent="0.2">
      <c r="A28" s="38" t="s">
        <v>244</v>
      </c>
      <c r="B28" s="39"/>
      <c r="C28" s="39"/>
      <c r="D28" s="39"/>
      <c r="E28" s="38"/>
      <c r="F28" s="38"/>
      <c r="G28" s="39"/>
      <c r="H28" s="38"/>
      <c r="I28" s="39"/>
      <c r="J28" s="38"/>
      <c r="K28" s="39"/>
      <c r="L28" s="39"/>
      <c r="M28" s="39"/>
      <c r="N28" s="39"/>
      <c r="O28" s="39"/>
    </row>
    <row r="29" spans="1:15" ht="11.45" customHeight="1" x14ac:dyDescent="0.2">
      <c r="A29" s="38" t="s">
        <v>237</v>
      </c>
      <c r="B29" s="38"/>
      <c r="C29" s="38"/>
      <c r="D29" s="38"/>
      <c r="E29" s="38"/>
      <c r="F29" s="38"/>
      <c r="G29" s="38">
        <v>16.670000000000002</v>
      </c>
      <c r="H29" s="38"/>
      <c r="I29" s="38">
        <v>16.670000000000002</v>
      </c>
      <c r="J29" s="38"/>
      <c r="K29" s="38">
        <v>33.340000000000003</v>
      </c>
      <c r="L29" s="38"/>
      <c r="M29" s="38"/>
      <c r="N29" s="38"/>
      <c r="O29" s="38"/>
    </row>
    <row r="30" spans="1:15" ht="11.45" customHeight="1" x14ac:dyDescent="0.2">
      <c r="A30" s="38" t="s">
        <v>255</v>
      </c>
      <c r="B30" s="39"/>
      <c r="C30" s="39"/>
      <c r="D30" s="39"/>
      <c r="E30" s="38"/>
      <c r="F30" s="38"/>
      <c r="G30" s="38">
        <f>G23-G29</f>
        <v>7.5242095498899104</v>
      </c>
      <c r="H30" s="38"/>
      <c r="I30" s="38">
        <f>I23-I29</f>
        <v>16.295672291458004</v>
      </c>
      <c r="J30" s="38"/>
      <c r="K30" s="38">
        <f>K23-K29</f>
        <v>1.7302148070202108</v>
      </c>
      <c r="L30" s="39"/>
      <c r="M30" s="38">
        <f>M23-M29</f>
        <v>6.4602693645380356</v>
      </c>
      <c r="N30" s="38"/>
      <c r="O30" s="38">
        <f>O23-O29</f>
        <v>1.3096339870938296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2</v>
      </c>
      <c r="F31" s="53">
        <v>1</v>
      </c>
      <c r="G31" s="53"/>
      <c r="H31" s="53">
        <v>1</v>
      </c>
      <c r="I31" s="53"/>
      <c r="J31" s="53">
        <v>0</v>
      </c>
      <c r="K31" s="52"/>
      <c r="L31" s="53">
        <v>0</v>
      </c>
      <c r="M31" s="52"/>
      <c r="N31" s="52"/>
      <c r="O31" s="52"/>
    </row>
    <row r="32" spans="1:15" ht="11.45" customHeight="1" x14ac:dyDescent="0.2">
      <c r="A32" s="38" t="s">
        <v>239</v>
      </c>
      <c r="B32" s="39"/>
      <c r="C32" s="39"/>
      <c r="D32" s="39"/>
      <c r="E32" s="54">
        <f>E26+E27+E31</f>
        <v>6</v>
      </c>
      <c r="F32" s="38">
        <v>2</v>
      </c>
      <c r="G32" s="38"/>
      <c r="H32" s="38">
        <v>2</v>
      </c>
      <c r="I32" s="38"/>
      <c r="J32" s="38">
        <v>2</v>
      </c>
      <c r="K32" s="38"/>
      <c r="L32" s="38">
        <f>L27+L31</f>
        <v>0</v>
      </c>
      <c r="M32" s="38"/>
      <c r="N32" s="38">
        <f>N27+N31</f>
        <v>0</v>
      </c>
      <c r="O32" s="38"/>
    </row>
    <row r="33" spans="1:15" ht="11.45" customHeight="1" x14ac:dyDescent="0.2">
      <c r="A33" s="38" t="s">
        <v>245</v>
      </c>
      <c r="B33" s="39"/>
      <c r="C33" s="39"/>
      <c r="D33" s="39"/>
      <c r="E33" s="56">
        <f>G33+I33+K33+M33+O33</f>
        <v>90.49</v>
      </c>
      <c r="F33" s="38"/>
      <c r="G33" s="56">
        <v>24.19</v>
      </c>
      <c r="H33" s="38"/>
      <c r="I33" s="56">
        <v>32.97</v>
      </c>
      <c r="J33" s="38"/>
      <c r="K33" s="38">
        <v>33.33</v>
      </c>
      <c r="L33" s="38"/>
      <c r="M33" s="38">
        <v>0</v>
      </c>
      <c r="N33" s="38"/>
      <c r="O33" s="38">
        <v>0</v>
      </c>
    </row>
    <row r="34" spans="1:15" ht="11.45" customHeight="1" x14ac:dyDescent="0.2">
      <c r="A34" s="38" t="s">
        <v>314</v>
      </c>
      <c r="E34" s="54">
        <f>F34+H34+J34+L34</f>
        <v>214127.39189999999</v>
      </c>
      <c r="F34" s="38">
        <f>G33*$E23/100</f>
        <v>57241.038900000007</v>
      </c>
      <c r="G34" s="38"/>
      <c r="H34" s="38">
        <f>I33*$E23/100</f>
        <v>78017.240699999995</v>
      </c>
      <c r="I34" s="38"/>
      <c r="J34" s="38">
        <f>K33*$E23/100</f>
        <v>78869.112299999993</v>
      </c>
      <c r="K34" s="38"/>
      <c r="L34" s="38">
        <f>M33*$E23/100</f>
        <v>0</v>
      </c>
      <c r="N34" s="38">
        <f>O33*$E23/100</f>
        <v>0</v>
      </c>
      <c r="O34" s="38"/>
    </row>
    <row r="35" spans="1:15" ht="11.45" customHeight="1" x14ac:dyDescent="0.2">
      <c r="A35" s="79" t="s">
        <v>313</v>
      </c>
      <c r="B35" s="80"/>
      <c r="C35" s="80"/>
      <c r="D35" s="80"/>
      <c r="E35" s="59">
        <f>G35+I35+K35+M35+O35</f>
        <v>0.90500000000000003</v>
      </c>
      <c r="F35" s="63"/>
      <c r="G35" s="68">
        <v>0.24199999999999999</v>
      </c>
      <c r="H35" s="63"/>
      <c r="I35" s="68">
        <v>0.33</v>
      </c>
      <c r="J35" s="63"/>
      <c r="K35" s="68">
        <v>0.33300000000000002</v>
      </c>
      <c r="L35" s="63"/>
      <c r="M35" s="68">
        <v>0</v>
      </c>
      <c r="N35" s="63"/>
      <c r="O35" s="63"/>
    </row>
    <row r="36" spans="1:15" ht="11.45" customHeight="1" x14ac:dyDescent="0.2">
      <c r="A36" s="81" t="s">
        <v>312</v>
      </c>
      <c r="B36" s="82"/>
      <c r="C36" s="82"/>
      <c r="D36" s="82"/>
      <c r="E36" s="62" t="s">
        <v>305</v>
      </c>
      <c r="F36" s="38"/>
      <c r="G36" s="78">
        <v>0</v>
      </c>
      <c r="H36" s="38"/>
      <c r="I36" s="77">
        <v>6.0999999999999999E-2</v>
      </c>
      <c r="K36" s="62" t="s">
        <v>304</v>
      </c>
      <c r="L36" s="38"/>
      <c r="M36" s="62" t="s">
        <v>260</v>
      </c>
      <c r="N36" s="38"/>
    </row>
    <row r="37" spans="1:15" ht="11.45" customHeight="1" x14ac:dyDescent="0.2">
      <c r="A37" s="38" t="s">
        <v>240</v>
      </c>
      <c r="B37" s="39"/>
      <c r="C37" s="39"/>
      <c r="D37" s="39"/>
    </row>
    <row r="38" spans="1:15" ht="11.45" customHeight="1" x14ac:dyDescent="0.2">
      <c r="A38" s="38" t="s">
        <v>252</v>
      </c>
      <c r="B38" s="39"/>
      <c r="C38" s="39"/>
      <c r="D38" s="39"/>
    </row>
    <row r="39" spans="1:15" ht="11.45" customHeight="1" x14ac:dyDescent="0.2">
      <c r="A39" s="61" t="s">
        <v>276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11.45" customHeight="1" x14ac:dyDescent="0.2">
      <c r="A40" s="38" t="s">
        <v>253</v>
      </c>
      <c r="E40" s="28">
        <f>F40+H40+J40+L40+N40</f>
        <v>83730</v>
      </c>
      <c r="F40" s="28">
        <v>0</v>
      </c>
      <c r="G40" s="28">
        <f>F40*100/$E23</f>
        <v>0</v>
      </c>
      <c r="H40" s="28">
        <f>H9</f>
        <v>14450</v>
      </c>
      <c r="I40" s="28">
        <f>H40*100/$E23</f>
        <v>6.1065540863200507</v>
      </c>
      <c r="J40" s="28">
        <f>J23-J9</f>
        <v>69280</v>
      </c>
      <c r="K40" s="28">
        <f>J40*100/$E23</f>
        <v>29.277651702439663</v>
      </c>
      <c r="L40" s="28">
        <v>0</v>
      </c>
      <c r="M40" s="28">
        <f>L40*100/$E23</f>
        <v>0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E41" s="95" t="s">
        <v>305</v>
      </c>
      <c r="F41" s="83"/>
      <c r="G41" s="95" t="s">
        <v>260</v>
      </c>
      <c r="H41" s="83"/>
      <c r="I41" s="95" t="s">
        <v>322</v>
      </c>
      <c r="J41" s="83"/>
      <c r="K41" s="95" t="s">
        <v>323</v>
      </c>
      <c r="L41" s="28"/>
      <c r="M41" s="95" t="s">
        <v>260</v>
      </c>
      <c r="N41" s="28"/>
      <c r="O41" s="95" t="s">
        <v>260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50" zoomScaleNormal="150" workbookViewId="0">
      <pane ySplit="4" topLeftCell="A11" activePane="bottomLeft" state="frozen"/>
      <selection pane="bottomLeft" activeCell="H38" sqref="H38"/>
    </sheetView>
  </sheetViews>
  <sheetFormatPr defaultColWidth="11.5703125" defaultRowHeight="11.45" customHeight="1" x14ac:dyDescent="0.2"/>
  <cols>
    <col min="1" max="1" width="5.5703125" customWidth="1"/>
    <col min="2" max="3" width="5.140625" customWidth="1"/>
    <col min="4" max="4" width="16.5703125" customWidth="1"/>
    <col min="5" max="5" width="6" customWidth="1"/>
    <col min="6" max="8" width="5" customWidth="1"/>
    <col min="9" max="9" width="5.7109375" customWidth="1"/>
    <col min="10" max="15" width="5" customWidth="1"/>
  </cols>
  <sheetData>
    <row r="1" spans="1:15" ht="12.75" customHeight="1" x14ac:dyDescent="0.2">
      <c r="A1" t="s">
        <v>331</v>
      </c>
    </row>
    <row r="2" spans="1:15" ht="12.75" customHeight="1" x14ac:dyDescent="0.2">
      <c r="A2" s="35" t="s">
        <v>218</v>
      </c>
    </row>
    <row r="3" spans="1:15" ht="12.75" customHeight="1" x14ac:dyDescent="0.2">
      <c r="E3" s="35" t="s">
        <v>205</v>
      </c>
    </row>
    <row r="4" spans="1:15" ht="12.75" customHeight="1" x14ac:dyDescent="0.2">
      <c r="A4" s="36" t="s">
        <v>206</v>
      </c>
      <c r="B4" s="36" t="s">
        <v>207</v>
      </c>
      <c r="C4" s="36" t="s">
        <v>208</v>
      </c>
      <c r="D4" s="37" t="s">
        <v>209</v>
      </c>
      <c r="E4" s="6" t="s">
        <v>4</v>
      </c>
      <c r="F4" s="7" t="s">
        <v>5</v>
      </c>
      <c r="G4" s="7" t="s">
        <v>6</v>
      </c>
      <c r="H4" s="8" t="s">
        <v>7</v>
      </c>
      <c r="I4" s="8" t="s">
        <v>6</v>
      </c>
      <c r="J4" s="9" t="s">
        <v>8</v>
      </c>
      <c r="K4" s="9" t="s">
        <v>6</v>
      </c>
      <c r="L4" s="10" t="s">
        <v>9</v>
      </c>
      <c r="M4" s="10" t="s">
        <v>6</v>
      </c>
      <c r="N4" s="6" t="s">
        <v>10</v>
      </c>
      <c r="O4" s="6" t="s">
        <v>6</v>
      </c>
    </row>
    <row r="5" spans="1:15" ht="11.45" customHeight="1" x14ac:dyDescent="0.2">
      <c r="A5" s="1">
        <v>37</v>
      </c>
      <c r="B5" s="1"/>
      <c r="C5" s="1"/>
      <c r="D5" s="17" t="s">
        <v>88</v>
      </c>
      <c r="E5" s="1">
        <v>19019</v>
      </c>
      <c r="F5" s="1">
        <v>6513</v>
      </c>
      <c r="G5" s="1">
        <v>33.799999999999997</v>
      </c>
      <c r="H5" s="1">
        <v>10026</v>
      </c>
      <c r="I5" s="1">
        <v>52.02</v>
      </c>
      <c r="J5" s="1">
        <v>1192</v>
      </c>
      <c r="K5" s="1">
        <v>6.19</v>
      </c>
      <c r="L5" s="1">
        <v>988</v>
      </c>
      <c r="M5" s="1">
        <v>5.13</v>
      </c>
      <c r="N5" s="1">
        <v>300</v>
      </c>
      <c r="O5" s="1">
        <v>1.56</v>
      </c>
    </row>
    <row r="6" spans="1:15" ht="11.45" customHeight="1" x14ac:dyDescent="0.2">
      <c r="A6" s="1">
        <v>14</v>
      </c>
      <c r="B6" s="1"/>
      <c r="C6" s="1"/>
      <c r="D6" s="17" t="s">
        <v>89</v>
      </c>
      <c r="E6" s="1">
        <v>24902</v>
      </c>
      <c r="F6" s="1">
        <v>10508</v>
      </c>
      <c r="G6" s="1">
        <v>42.2</v>
      </c>
      <c r="H6" s="1">
        <v>11380</v>
      </c>
      <c r="I6" s="1">
        <v>45.7</v>
      </c>
      <c r="J6" s="1">
        <v>1061</v>
      </c>
      <c r="K6" s="1">
        <v>4.26</v>
      </c>
      <c r="L6" s="1">
        <v>1540</v>
      </c>
      <c r="M6" s="1">
        <v>6.18</v>
      </c>
      <c r="N6" s="1">
        <v>130</v>
      </c>
      <c r="O6" s="1">
        <v>0.52</v>
      </c>
    </row>
    <row r="7" spans="1:15" ht="11.45" customHeight="1" x14ac:dyDescent="0.2">
      <c r="A7" s="1"/>
      <c r="B7" s="1">
        <v>26</v>
      </c>
      <c r="C7" s="1" t="s">
        <v>7</v>
      </c>
      <c r="D7" s="17" t="s">
        <v>90</v>
      </c>
      <c r="E7" s="16">
        <f>E5+E6</f>
        <v>43921</v>
      </c>
      <c r="F7" s="16">
        <f>F5+F6</f>
        <v>17021</v>
      </c>
      <c r="G7" s="16">
        <f>F7*100/$E7</f>
        <v>38.753671364495347</v>
      </c>
      <c r="H7" s="16">
        <f>H5+H6</f>
        <v>21406</v>
      </c>
      <c r="I7" s="16">
        <f>H7*100/$E7</f>
        <v>48.737505976639873</v>
      </c>
      <c r="J7" s="16">
        <f>J5+J6</f>
        <v>2253</v>
      </c>
      <c r="K7" s="16">
        <f>J7*100/$E7</f>
        <v>5.1296646251223788</v>
      </c>
      <c r="L7" s="16">
        <f>L5+L6</f>
        <v>2528</v>
      </c>
      <c r="M7" s="16">
        <f>L7*100/$E7</f>
        <v>5.7557888026228907</v>
      </c>
      <c r="N7" s="16">
        <f>N5+N6</f>
        <v>430</v>
      </c>
      <c r="O7" s="16">
        <f>N7*100/$E7</f>
        <v>0.97903053209171009</v>
      </c>
    </row>
    <row r="8" spans="1:15" ht="11.45" customHeight="1" x14ac:dyDescent="0.2">
      <c r="A8" s="1">
        <v>73</v>
      </c>
      <c r="B8" s="1"/>
      <c r="C8" s="1"/>
      <c r="D8" s="17" t="s">
        <v>91</v>
      </c>
      <c r="E8" s="1">
        <v>29473</v>
      </c>
      <c r="F8" s="1">
        <v>6711</v>
      </c>
      <c r="G8" s="1">
        <v>22.77</v>
      </c>
      <c r="H8" s="1">
        <v>18025</v>
      </c>
      <c r="I8" s="1">
        <v>61.16</v>
      </c>
      <c r="J8" s="1">
        <v>3019</v>
      </c>
      <c r="K8" s="1">
        <v>10.24</v>
      </c>
      <c r="L8" s="1">
        <v>1511</v>
      </c>
      <c r="M8" s="1">
        <v>5.13</v>
      </c>
      <c r="N8" s="1">
        <v>207</v>
      </c>
      <c r="O8" s="1">
        <v>0.7</v>
      </c>
    </row>
    <row r="9" spans="1:15" ht="11.45" customHeight="1" x14ac:dyDescent="0.2">
      <c r="A9" s="1">
        <v>94</v>
      </c>
      <c r="B9" s="1"/>
      <c r="C9" s="1"/>
      <c r="D9" s="17" t="s">
        <v>92</v>
      </c>
      <c r="E9" s="1">
        <v>29373</v>
      </c>
      <c r="F9" s="1">
        <v>8797</v>
      </c>
      <c r="G9" s="1">
        <v>29.95</v>
      </c>
      <c r="H9" s="1">
        <v>11923</v>
      </c>
      <c r="I9" s="1">
        <v>40.590000000000003</v>
      </c>
      <c r="J9" s="1">
        <v>3173</v>
      </c>
      <c r="K9" s="1">
        <v>10.8</v>
      </c>
      <c r="L9" s="1">
        <v>4812</v>
      </c>
      <c r="M9" s="1">
        <v>16.38</v>
      </c>
      <c r="N9" s="1">
        <v>668</v>
      </c>
      <c r="O9" s="1">
        <v>2.27</v>
      </c>
    </row>
    <row r="10" spans="1:15" ht="11.45" customHeight="1" x14ac:dyDescent="0.2">
      <c r="A10" s="1"/>
      <c r="B10" s="1">
        <v>27</v>
      </c>
      <c r="C10" s="1" t="s">
        <v>7</v>
      </c>
      <c r="D10" s="17" t="s">
        <v>93</v>
      </c>
      <c r="E10" s="16">
        <f>E8+E9</f>
        <v>58846</v>
      </c>
      <c r="F10" s="16">
        <f>F8+F9</f>
        <v>15508</v>
      </c>
      <c r="G10" s="16">
        <f>F10*100/$E10</f>
        <v>26.353532950412941</v>
      </c>
      <c r="H10" s="16">
        <f>H8+H9</f>
        <v>29948</v>
      </c>
      <c r="I10" s="16">
        <f>H10*100/$E10</f>
        <v>50.892159195187439</v>
      </c>
      <c r="J10" s="16">
        <f>J8+J9</f>
        <v>6192</v>
      </c>
      <c r="K10" s="16">
        <f>J10*100/$E10</f>
        <v>10.522380450667844</v>
      </c>
      <c r="L10" s="16">
        <f>L8+L9</f>
        <v>6323</v>
      </c>
      <c r="M10" s="16">
        <f>L10*100/$E10</f>
        <v>10.744995411752711</v>
      </c>
      <c r="N10" s="16">
        <f>N8+N9</f>
        <v>875</v>
      </c>
      <c r="O10" s="16">
        <f>N10*100/$E10</f>
        <v>1.486931991979064</v>
      </c>
    </row>
    <row r="11" spans="1:15" ht="11.45" customHeight="1" x14ac:dyDescent="0.2">
      <c r="A11" s="1">
        <v>29</v>
      </c>
      <c r="B11" s="1"/>
      <c r="C11" s="1"/>
      <c r="D11" s="15" t="s">
        <v>94</v>
      </c>
      <c r="E11" s="1">
        <f>F11+H11+J11+L11+N11</f>
        <v>34772</v>
      </c>
      <c r="F11" s="1">
        <v>17343</v>
      </c>
      <c r="G11" s="1">
        <f>F11*100/$E11</f>
        <v>49.876337282871276</v>
      </c>
      <c r="H11" s="1">
        <v>6649</v>
      </c>
      <c r="I11" s="1">
        <f>H11*100/$E11</f>
        <v>19.121707120671804</v>
      </c>
      <c r="J11" s="1">
        <v>8092</v>
      </c>
      <c r="K11" s="1">
        <f>J11*100/$E11</f>
        <v>23.271597837340387</v>
      </c>
      <c r="L11" s="1">
        <v>1910</v>
      </c>
      <c r="M11" s="1">
        <f>L11*100/$E11</f>
        <v>5.4929253422293796</v>
      </c>
      <c r="N11" s="1">
        <f>348+272+158</f>
        <v>778</v>
      </c>
      <c r="O11" s="1">
        <f>N11*100/$E11</f>
        <v>2.2374324168871507</v>
      </c>
    </row>
    <row r="12" spans="1:15" ht="11.45" customHeight="1" x14ac:dyDescent="0.2">
      <c r="A12" s="1">
        <v>95</v>
      </c>
      <c r="B12" s="1"/>
      <c r="C12" s="1"/>
      <c r="D12" s="15" t="s">
        <v>95</v>
      </c>
      <c r="E12" s="1">
        <f>F12+H12+J12+L12+N12</f>
        <v>34986</v>
      </c>
      <c r="F12" s="1">
        <v>18086</v>
      </c>
      <c r="G12" s="1">
        <f>F12*100/$E12</f>
        <v>51.694963699765623</v>
      </c>
      <c r="H12" s="1">
        <v>8378</v>
      </c>
      <c r="I12" s="1">
        <f>H12*100/$E12</f>
        <v>23.946721545761161</v>
      </c>
      <c r="J12" s="1">
        <v>5794</v>
      </c>
      <c r="K12" s="1">
        <f>J12*100/$E12</f>
        <v>16.56091007831704</v>
      </c>
      <c r="L12" s="1">
        <v>2129</v>
      </c>
      <c r="M12" s="1">
        <f>L12*100/$E12</f>
        <v>6.0852912593608872</v>
      </c>
      <c r="N12" s="1">
        <f>354+245</f>
        <v>599</v>
      </c>
      <c r="O12" s="1">
        <f>N12*100/$E12</f>
        <v>1.7121134167952896</v>
      </c>
    </row>
    <row r="13" spans="1:15" ht="11.45" customHeight="1" x14ac:dyDescent="0.2">
      <c r="A13" s="5"/>
      <c r="B13" s="5">
        <v>28</v>
      </c>
      <c r="C13" s="5" t="s">
        <v>5</v>
      </c>
      <c r="D13" s="18" t="s">
        <v>96</v>
      </c>
      <c r="E13" s="12">
        <f>E11+E12</f>
        <v>69758</v>
      </c>
      <c r="F13" s="12">
        <f>F11+F12</f>
        <v>35429</v>
      </c>
      <c r="G13" s="12">
        <f>F13*100/$E13</f>
        <v>50.788440035551481</v>
      </c>
      <c r="H13" s="12">
        <f>H11+H12</f>
        <v>15027</v>
      </c>
      <c r="I13" s="12">
        <f>H13*100/$E13</f>
        <v>21.541615298603745</v>
      </c>
      <c r="J13" s="12">
        <f>J11+J12</f>
        <v>13886</v>
      </c>
      <c r="K13" s="12">
        <f>J13*100/$E13</f>
        <v>19.905960606668771</v>
      </c>
      <c r="L13" s="12">
        <f>L11+L12</f>
        <v>4039</v>
      </c>
      <c r="M13" s="12">
        <f>L13*100/$E13</f>
        <v>5.7900169156225809</v>
      </c>
      <c r="N13" s="12">
        <f>N11+N12</f>
        <v>1377</v>
      </c>
      <c r="O13" s="12">
        <f>N13*100/$E13</f>
        <v>1.9739671435534276</v>
      </c>
    </row>
    <row r="14" spans="1:15" ht="11.45" customHeight="1" x14ac:dyDescent="0.2">
      <c r="A14" s="1"/>
      <c r="B14" s="1"/>
      <c r="C14" s="1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11.45" customHeight="1" x14ac:dyDescent="0.2">
      <c r="A15" s="1"/>
      <c r="B15" s="1"/>
      <c r="C15" s="1"/>
      <c r="D15" s="20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1.45" customHeight="1" x14ac:dyDescent="0.2">
      <c r="A16" s="1"/>
      <c r="B16" s="1"/>
      <c r="C16" s="1"/>
      <c r="D16" s="20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21" spans="1:15" ht="11.45" customHeight="1" x14ac:dyDescent="0.2">
      <c r="A21" t="s">
        <v>210</v>
      </c>
    </row>
    <row r="22" spans="1:15" ht="11.45" customHeight="1" x14ac:dyDescent="0.2">
      <c r="A22" s="55" t="s">
        <v>231</v>
      </c>
      <c r="B22" s="39"/>
      <c r="C22" s="39"/>
      <c r="D22" s="39"/>
      <c r="E22" s="51">
        <v>6</v>
      </c>
      <c r="F22" s="51">
        <v>2</v>
      </c>
      <c r="G22" s="39"/>
      <c r="H22" s="38">
        <v>4</v>
      </c>
      <c r="I22" s="38"/>
      <c r="J22" s="38">
        <v>0</v>
      </c>
      <c r="K22" s="38"/>
      <c r="L22" s="38">
        <v>0</v>
      </c>
      <c r="M22" s="39"/>
      <c r="N22" s="39"/>
      <c r="O22" s="39"/>
    </row>
    <row r="23" spans="1:15" ht="11.45" customHeight="1" x14ac:dyDescent="0.2">
      <c r="A23" s="55" t="s">
        <v>232</v>
      </c>
      <c r="B23" s="39"/>
      <c r="C23" s="39"/>
      <c r="D23" s="39"/>
      <c r="E23" s="46">
        <f>E7+E10+E13+E16+E19</f>
        <v>172525</v>
      </c>
      <c r="F23" s="46">
        <f>F7+F10+F13+F16+F19</f>
        <v>67958</v>
      </c>
      <c r="G23" s="46">
        <f>F23*100/$E23</f>
        <v>39.39023329952181</v>
      </c>
      <c r="H23" s="46">
        <f>H7+H10+H13+H16+H19</f>
        <v>66381</v>
      </c>
      <c r="I23" s="46">
        <f>H23*100/$E23</f>
        <v>38.476162874945658</v>
      </c>
      <c r="J23" s="46">
        <f>J7+J10+J13+J16+J19</f>
        <v>22331</v>
      </c>
      <c r="K23" s="46">
        <f>J23*100/$E23</f>
        <v>12.943631357774235</v>
      </c>
      <c r="L23" s="46">
        <f>L7+L10+L13+L16+L19</f>
        <v>12890</v>
      </c>
      <c r="M23" s="46">
        <f>L23*100/$E23</f>
        <v>7.4713809592812632</v>
      </c>
      <c r="N23" s="46">
        <f>N7+N10+N13+N16+N19</f>
        <v>2682</v>
      </c>
      <c r="O23" s="46">
        <f>N23*100/$E23</f>
        <v>1.554557310534705</v>
      </c>
    </row>
    <row r="24" spans="1:15" s="28" customFormat="1" ht="11.45" customHeight="1" x14ac:dyDescent="0.2">
      <c r="A24" s="55"/>
      <c r="B24" s="39"/>
      <c r="C24" s="39"/>
      <c r="D24" s="3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11.45" customHeight="1" x14ac:dyDescent="0.2">
      <c r="A25" s="55" t="s">
        <v>241</v>
      </c>
      <c r="B25" s="39"/>
      <c r="C25" s="39"/>
      <c r="D25" s="3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1.45" customHeight="1" x14ac:dyDescent="0.2">
      <c r="A26" s="38" t="s">
        <v>233</v>
      </c>
      <c r="B26" s="39"/>
      <c r="C26" s="39"/>
      <c r="D26" s="39"/>
      <c r="E26" s="38">
        <f>F26+H26+J26+L26+N26</f>
        <v>3</v>
      </c>
      <c r="F26" s="38">
        <v>1</v>
      </c>
      <c r="G26" s="39"/>
      <c r="H26" s="38">
        <v>2</v>
      </c>
      <c r="I26" s="39"/>
      <c r="J26" s="38">
        <v>0</v>
      </c>
      <c r="K26" s="39"/>
      <c r="L26" s="38">
        <v>0</v>
      </c>
      <c r="M26" s="39"/>
      <c r="N26" s="38">
        <v>0</v>
      </c>
      <c r="O26" s="39"/>
    </row>
    <row r="27" spans="1:15" ht="11.45" customHeight="1" x14ac:dyDescent="0.2">
      <c r="A27" s="38" t="s">
        <v>234</v>
      </c>
      <c r="B27" s="39"/>
      <c r="C27" s="39"/>
      <c r="D27" s="39"/>
      <c r="E27" s="38">
        <f>F27+H27+J27+L27+N27</f>
        <v>1</v>
      </c>
      <c r="F27" s="38">
        <v>1</v>
      </c>
      <c r="G27" s="39"/>
      <c r="H27" s="38">
        <v>0</v>
      </c>
      <c r="I27" s="39"/>
      <c r="J27" s="38">
        <v>0</v>
      </c>
      <c r="K27" s="39"/>
      <c r="L27" s="38">
        <v>0</v>
      </c>
      <c r="M27" s="39"/>
      <c r="N27" s="38">
        <v>0</v>
      </c>
      <c r="O27" s="39"/>
    </row>
    <row r="28" spans="1:15" ht="11.45" customHeight="1" x14ac:dyDescent="0.2">
      <c r="A28" s="38" t="s">
        <v>244</v>
      </c>
      <c r="B28" s="39"/>
      <c r="C28" s="39"/>
      <c r="D28" s="39"/>
      <c r="E28" s="38"/>
      <c r="F28" s="38"/>
      <c r="G28" s="39"/>
      <c r="H28" s="38"/>
      <c r="I28" s="39"/>
      <c r="J28" s="38"/>
      <c r="K28" s="39"/>
      <c r="L28" s="39"/>
      <c r="M28" s="39"/>
      <c r="N28" s="39"/>
      <c r="O28" s="39"/>
    </row>
    <row r="29" spans="1:15" ht="11.45" customHeight="1" x14ac:dyDescent="0.2">
      <c r="A29" s="38" t="s">
        <v>237</v>
      </c>
      <c r="B29" s="38"/>
      <c r="C29" s="38"/>
      <c r="D29" s="38"/>
      <c r="E29" s="38"/>
      <c r="F29" s="38"/>
      <c r="G29" s="38">
        <v>33.340000000000003</v>
      </c>
      <c r="H29" s="38"/>
      <c r="I29" s="38">
        <v>33.340000000000003</v>
      </c>
      <c r="J29" s="38"/>
      <c r="K29" s="38">
        <v>0</v>
      </c>
      <c r="L29" s="38"/>
      <c r="M29" s="38"/>
      <c r="N29" s="38"/>
      <c r="O29" s="38"/>
    </row>
    <row r="30" spans="1:15" ht="11.45" customHeight="1" x14ac:dyDescent="0.2">
      <c r="A30" s="38" t="s">
        <v>255</v>
      </c>
      <c r="B30" s="39"/>
      <c r="C30" s="39"/>
      <c r="D30" s="39"/>
      <c r="E30" s="38"/>
      <c r="F30" s="38"/>
      <c r="G30" s="38">
        <f>G23-G29</f>
        <v>6.0502332995218069</v>
      </c>
      <c r="H30" s="38"/>
      <c r="I30" s="38">
        <f>I23-I29</f>
        <v>5.1361628749456543</v>
      </c>
      <c r="J30" s="38"/>
      <c r="K30" s="38">
        <f>K23-K29</f>
        <v>12.943631357774235</v>
      </c>
      <c r="L30" s="39"/>
      <c r="M30" s="38">
        <f>M23-M29</f>
        <v>7.4713809592812632</v>
      </c>
      <c r="N30" s="38"/>
      <c r="O30" s="38">
        <f>O23-O29</f>
        <v>1.554557310534705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2</v>
      </c>
      <c r="F31" s="53">
        <v>0</v>
      </c>
      <c r="G31" s="53"/>
      <c r="H31" s="53">
        <v>0</v>
      </c>
      <c r="I31" s="53"/>
      <c r="J31" s="53">
        <v>1</v>
      </c>
      <c r="K31" s="52"/>
      <c r="L31" s="53">
        <v>1</v>
      </c>
      <c r="M31" s="52"/>
      <c r="N31" s="52"/>
      <c r="O31" s="52"/>
    </row>
    <row r="32" spans="1:15" ht="11.45" customHeight="1" x14ac:dyDescent="0.2">
      <c r="A32" s="38" t="s">
        <v>239</v>
      </c>
      <c r="B32" s="39"/>
      <c r="C32" s="39"/>
      <c r="D32" s="39"/>
      <c r="E32" s="54">
        <f>E26+E27+E31</f>
        <v>6</v>
      </c>
      <c r="F32" s="38">
        <v>2</v>
      </c>
      <c r="G32" s="38"/>
      <c r="H32" s="38">
        <v>2</v>
      </c>
      <c r="I32" s="38"/>
      <c r="J32" s="38">
        <v>1</v>
      </c>
      <c r="K32" s="38"/>
      <c r="L32" s="38">
        <f>L27+L31</f>
        <v>1</v>
      </c>
      <c r="M32" s="38"/>
      <c r="N32" s="38">
        <f>N27+N31</f>
        <v>0</v>
      </c>
      <c r="O32" s="38"/>
    </row>
    <row r="33" spans="1:15" ht="11.45" customHeight="1" x14ac:dyDescent="0.2">
      <c r="A33" s="38" t="s">
        <v>245</v>
      </c>
      <c r="B33" s="39"/>
      <c r="C33" s="39"/>
      <c r="D33" s="39"/>
      <c r="E33" s="56">
        <f>G33+I33+K33+M33+O33</f>
        <v>87.09</v>
      </c>
      <c r="F33" s="38"/>
      <c r="G33" s="56">
        <v>33.340000000000003</v>
      </c>
      <c r="H33" s="38"/>
      <c r="I33" s="56">
        <v>33.340000000000003</v>
      </c>
      <c r="J33" s="38"/>
      <c r="K33" s="38">
        <v>12.94</v>
      </c>
      <c r="L33" s="38"/>
      <c r="M33" s="38">
        <v>7.47</v>
      </c>
      <c r="N33" s="38"/>
      <c r="O33" s="38">
        <v>0</v>
      </c>
    </row>
    <row r="34" spans="1:15" ht="11.45" customHeight="1" x14ac:dyDescent="0.2">
      <c r="A34" s="38" t="s">
        <v>314</v>
      </c>
      <c r="E34" s="54">
        <f>F34+H34+J34+L34</f>
        <v>150252.02250000002</v>
      </c>
      <c r="F34" s="38">
        <f>G33*$E23/100</f>
        <v>57519.835000000006</v>
      </c>
      <c r="G34" s="38"/>
      <c r="H34" s="38">
        <f>I33*$E23/100</f>
        <v>57519.835000000006</v>
      </c>
      <c r="I34" s="38"/>
      <c r="J34" s="38">
        <f>K33*$E23/100</f>
        <v>22324.735000000001</v>
      </c>
      <c r="K34" s="38"/>
      <c r="L34" s="38">
        <f>M33*$E23/100</f>
        <v>12887.6175</v>
      </c>
      <c r="N34" s="38">
        <f>O33*$E23/100</f>
        <v>0</v>
      </c>
      <c r="O34" s="38"/>
    </row>
    <row r="35" spans="1:15" ht="11.45" customHeight="1" x14ac:dyDescent="0.2">
      <c r="A35" s="79" t="s">
        <v>313</v>
      </c>
      <c r="B35" s="80"/>
      <c r="C35" s="80"/>
      <c r="D35" s="80"/>
      <c r="E35" s="68">
        <v>0.871</v>
      </c>
      <c r="F35" s="63"/>
      <c r="G35" s="68">
        <v>0.33300000000000002</v>
      </c>
      <c r="H35" s="63"/>
      <c r="I35" s="68">
        <v>0.33300000000000002</v>
      </c>
      <c r="J35" s="63"/>
      <c r="K35" s="68">
        <v>0.129</v>
      </c>
      <c r="L35" s="63"/>
      <c r="M35" s="68">
        <v>7.4999999999999997E-2</v>
      </c>
      <c r="N35" s="63"/>
      <c r="O35" s="63"/>
    </row>
    <row r="36" spans="1:15" ht="11.45" customHeight="1" x14ac:dyDescent="0.2">
      <c r="A36" s="81" t="s">
        <v>312</v>
      </c>
      <c r="B36" s="82"/>
      <c r="C36" s="82"/>
      <c r="D36" s="82"/>
      <c r="E36" s="62" t="s">
        <v>306</v>
      </c>
      <c r="F36" s="38"/>
      <c r="G36" s="78">
        <v>0.20499999999999999</v>
      </c>
      <c r="H36" s="38"/>
      <c r="I36" s="78">
        <v>0.29799999999999999</v>
      </c>
      <c r="K36" s="62" t="s">
        <v>260</v>
      </c>
      <c r="L36" s="38"/>
      <c r="M36" s="62" t="s">
        <v>260</v>
      </c>
      <c r="N36" s="38"/>
    </row>
    <row r="37" spans="1:15" ht="11.45" customHeight="1" x14ac:dyDescent="0.2">
      <c r="A37" s="38" t="s">
        <v>240</v>
      </c>
      <c r="B37" s="39"/>
      <c r="C37" s="39"/>
      <c r="D37" s="39"/>
    </row>
    <row r="38" spans="1:15" ht="11.45" customHeight="1" x14ac:dyDescent="0.2">
      <c r="A38" s="38" t="s">
        <v>252</v>
      </c>
      <c r="B38" s="39"/>
      <c r="C38" s="39"/>
      <c r="D38" s="39"/>
    </row>
    <row r="39" spans="1:15" ht="11.45" customHeight="1" x14ac:dyDescent="0.2">
      <c r="A39" s="61" t="s">
        <v>276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11.45" customHeight="1" x14ac:dyDescent="0.2">
      <c r="A40" s="38" t="s">
        <v>253</v>
      </c>
      <c r="E40" s="28">
        <f>F40+H40+J40+L40+N40</f>
        <v>86783</v>
      </c>
      <c r="F40" s="28">
        <f>F11+F12</f>
        <v>35429</v>
      </c>
      <c r="G40" s="28">
        <f>F40*100/$E23</f>
        <v>20.535574554412403</v>
      </c>
      <c r="H40" s="28">
        <f>H23-H11-H12</f>
        <v>51354</v>
      </c>
      <c r="I40" s="28">
        <f>H40*100/$E23</f>
        <v>29.766120852050427</v>
      </c>
      <c r="J40" s="28">
        <v>0</v>
      </c>
      <c r="K40" s="28">
        <f>J40*100/$E23</f>
        <v>0</v>
      </c>
      <c r="L40" s="28">
        <v>0</v>
      </c>
      <c r="M40" s="28">
        <f>L40*100/$E23</f>
        <v>0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E41" s="95" t="s">
        <v>306</v>
      </c>
      <c r="F41" s="83"/>
      <c r="G41" s="95" t="s">
        <v>324</v>
      </c>
      <c r="H41" s="83"/>
      <c r="I41" s="95" t="s">
        <v>325</v>
      </c>
      <c r="J41" s="83"/>
      <c r="K41" s="95" t="s">
        <v>260</v>
      </c>
      <c r="L41" s="28"/>
      <c r="M41" s="95" t="s">
        <v>260</v>
      </c>
      <c r="N41" s="28"/>
      <c r="O41" s="95" t="s">
        <v>260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50" zoomScaleNormal="150" workbookViewId="0">
      <pane ySplit="4" topLeftCell="A6" activePane="bottomLeft" state="frozen"/>
      <selection pane="bottomLeft" activeCell="E26" sqref="E26:E32"/>
    </sheetView>
  </sheetViews>
  <sheetFormatPr defaultColWidth="11.5703125" defaultRowHeight="11.45" customHeight="1" x14ac:dyDescent="0.2"/>
  <cols>
    <col min="1" max="1" width="5.5703125" customWidth="1"/>
    <col min="2" max="3" width="5.140625" customWidth="1"/>
    <col min="4" max="4" width="16.5703125" customWidth="1"/>
    <col min="5" max="5" width="6.5703125" customWidth="1"/>
    <col min="6" max="8" width="5" customWidth="1"/>
    <col min="9" max="9" width="5.7109375" customWidth="1"/>
    <col min="10" max="15" width="5" customWidth="1"/>
  </cols>
  <sheetData>
    <row r="1" spans="1:15" ht="12.75" customHeight="1" x14ac:dyDescent="0.2">
      <c r="A1" t="s">
        <v>331</v>
      </c>
    </row>
    <row r="2" spans="1:15" ht="12.75" customHeight="1" x14ac:dyDescent="0.2">
      <c r="A2" s="35" t="s">
        <v>219</v>
      </c>
    </row>
    <row r="3" spans="1:15" ht="12.75" customHeight="1" x14ac:dyDescent="0.2">
      <c r="E3" s="35" t="s">
        <v>205</v>
      </c>
    </row>
    <row r="4" spans="1:15" ht="12.75" customHeight="1" x14ac:dyDescent="0.2">
      <c r="A4" s="36" t="s">
        <v>206</v>
      </c>
      <c r="B4" s="36" t="s">
        <v>207</v>
      </c>
      <c r="C4" s="36" t="s">
        <v>208</v>
      </c>
      <c r="D4" s="37" t="s">
        <v>209</v>
      </c>
      <c r="E4" s="6" t="s">
        <v>4</v>
      </c>
      <c r="F4" s="7" t="s">
        <v>5</v>
      </c>
      <c r="G4" s="7" t="s">
        <v>6</v>
      </c>
      <c r="H4" s="8" t="s">
        <v>7</v>
      </c>
      <c r="I4" s="8" t="s">
        <v>6</v>
      </c>
      <c r="J4" s="9" t="s">
        <v>8</v>
      </c>
      <c r="K4" s="9" t="s">
        <v>6</v>
      </c>
      <c r="L4" s="10" t="s">
        <v>9</v>
      </c>
      <c r="M4" s="10" t="s">
        <v>6</v>
      </c>
      <c r="N4" s="6" t="s">
        <v>10</v>
      </c>
      <c r="O4" s="6" t="s">
        <v>6</v>
      </c>
    </row>
    <row r="5" spans="1:15" ht="11.45" customHeight="1" x14ac:dyDescent="0.2">
      <c r="A5" s="1">
        <v>10</v>
      </c>
      <c r="B5" s="1"/>
      <c r="C5" s="1"/>
      <c r="D5" s="15" t="s">
        <v>97</v>
      </c>
      <c r="E5" s="1">
        <f>F5+H5+J5+L5+N5</f>
        <v>32222</v>
      </c>
      <c r="F5" s="1">
        <v>15910</v>
      </c>
      <c r="G5" s="1">
        <f t="shared" ref="G5:G13" si="0">F5*100/$E5</f>
        <v>49.376202594500654</v>
      </c>
      <c r="H5" s="1">
        <v>4281</v>
      </c>
      <c r="I5" s="1">
        <f t="shared" ref="I5:I13" si="1">H5*100/$E5</f>
        <v>13.285953696232388</v>
      </c>
      <c r="J5" s="1">
        <v>10667</v>
      </c>
      <c r="K5" s="1">
        <f t="shared" ref="K5:K13" si="2">J5*100/$E5</f>
        <v>33.104711066972875</v>
      </c>
      <c r="L5" s="1">
        <v>868</v>
      </c>
      <c r="M5" s="1">
        <f t="shared" ref="M5:M13" si="3">L5*100/$E5</f>
        <v>2.6938116814598723</v>
      </c>
      <c r="N5" s="1">
        <f>380+116</f>
        <v>496</v>
      </c>
      <c r="O5" s="1">
        <f t="shared" ref="O5:O13" si="4">N5*100/$E5</f>
        <v>1.5393209608342127</v>
      </c>
    </row>
    <row r="6" spans="1:15" ht="11.45" customHeight="1" x14ac:dyDescent="0.2">
      <c r="A6" s="1">
        <v>7</v>
      </c>
      <c r="B6" s="1"/>
      <c r="C6" s="1"/>
      <c r="D6" s="20" t="s">
        <v>98</v>
      </c>
      <c r="E6" s="1">
        <f>F6+H6+J6+L6+N6</f>
        <v>30878</v>
      </c>
      <c r="F6" s="1">
        <v>11535</v>
      </c>
      <c r="G6" s="1">
        <f t="shared" si="0"/>
        <v>37.356694086404559</v>
      </c>
      <c r="H6" s="1">
        <v>2128</v>
      </c>
      <c r="I6" s="1">
        <f t="shared" si="1"/>
        <v>6.8916380594598099</v>
      </c>
      <c r="J6" s="1">
        <v>15761</v>
      </c>
      <c r="K6" s="1">
        <f t="shared" si="2"/>
        <v>51.042813653734051</v>
      </c>
      <c r="L6" s="1">
        <v>887</v>
      </c>
      <c r="M6" s="1">
        <f t="shared" si="3"/>
        <v>2.8725953753481441</v>
      </c>
      <c r="N6" s="1">
        <v>567</v>
      </c>
      <c r="O6" s="1">
        <f t="shared" si="4"/>
        <v>1.8362588250534362</v>
      </c>
    </row>
    <row r="7" spans="1:15" ht="11.45" customHeight="1" x14ac:dyDescent="0.2">
      <c r="A7" s="1"/>
      <c r="B7" s="1">
        <v>29</v>
      </c>
      <c r="C7" s="5" t="s">
        <v>5</v>
      </c>
      <c r="D7" s="15" t="s">
        <v>99</v>
      </c>
      <c r="E7" s="16">
        <f>E5+E6</f>
        <v>63100</v>
      </c>
      <c r="F7" s="16">
        <f>F5+F6</f>
        <v>27445</v>
      </c>
      <c r="G7" s="16">
        <f t="shared" si="0"/>
        <v>43.494453248811411</v>
      </c>
      <c r="H7" s="16">
        <f>H5+H6</f>
        <v>6409</v>
      </c>
      <c r="I7" s="16">
        <f t="shared" si="1"/>
        <v>10.156893819334391</v>
      </c>
      <c r="J7" s="16">
        <f>J5+J6</f>
        <v>26428</v>
      </c>
      <c r="K7" s="16">
        <f t="shared" si="2"/>
        <v>41.882725832012682</v>
      </c>
      <c r="L7" s="16">
        <f>L5+L6</f>
        <v>1755</v>
      </c>
      <c r="M7" s="16">
        <f t="shared" si="3"/>
        <v>2.7812995245641838</v>
      </c>
      <c r="N7" s="16">
        <f>N5+N6</f>
        <v>1063</v>
      </c>
      <c r="O7" s="16">
        <f t="shared" si="4"/>
        <v>1.6846275752773376</v>
      </c>
    </row>
    <row r="8" spans="1:15" ht="11.45" customHeight="1" x14ac:dyDescent="0.2">
      <c r="A8" s="1">
        <v>28</v>
      </c>
      <c r="B8" s="1"/>
      <c r="C8" s="1"/>
      <c r="D8" s="20" t="s">
        <v>100</v>
      </c>
      <c r="E8" s="1">
        <f>F8+H8+J8+L8+N8</f>
        <v>44611</v>
      </c>
      <c r="F8" s="1">
        <v>14509</v>
      </c>
      <c r="G8" s="1">
        <f t="shared" si="0"/>
        <v>32.523368675887113</v>
      </c>
      <c r="H8" s="1">
        <v>5758</v>
      </c>
      <c r="I8" s="1">
        <f t="shared" si="1"/>
        <v>12.907130528345027</v>
      </c>
      <c r="J8" s="1">
        <v>21275</v>
      </c>
      <c r="K8" s="1">
        <f t="shared" si="2"/>
        <v>47.690031606554435</v>
      </c>
      <c r="L8" s="1">
        <v>1972</v>
      </c>
      <c r="M8" s="1">
        <f t="shared" si="3"/>
        <v>4.4204344220035416</v>
      </c>
      <c r="N8" s="1">
        <f>589+272+236</f>
        <v>1097</v>
      </c>
      <c r="O8" s="16">
        <f t="shared" si="4"/>
        <v>2.4590347672098809</v>
      </c>
    </row>
    <row r="9" spans="1:15" ht="11.45" customHeight="1" x14ac:dyDescent="0.2">
      <c r="A9" s="1">
        <v>66</v>
      </c>
      <c r="B9" s="1"/>
      <c r="C9" s="1"/>
      <c r="D9" s="15" t="s">
        <v>101</v>
      </c>
      <c r="E9" s="1">
        <f>F9+H9+J9+L9+N9</f>
        <v>39514</v>
      </c>
      <c r="F9" s="1">
        <v>19396</v>
      </c>
      <c r="G9" s="1">
        <f t="shared" si="0"/>
        <v>49.086399757048135</v>
      </c>
      <c r="H9" s="1">
        <v>6147</v>
      </c>
      <c r="I9" s="1">
        <f t="shared" si="1"/>
        <v>15.556511616136053</v>
      </c>
      <c r="J9" s="1">
        <v>11735</v>
      </c>
      <c r="K9" s="1">
        <f t="shared" si="2"/>
        <v>29.698334767424203</v>
      </c>
      <c r="L9" s="1">
        <v>1403</v>
      </c>
      <c r="M9" s="1">
        <f t="shared" si="3"/>
        <v>3.5506402793946448</v>
      </c>
      <c r="N9" s="1">
        <f>414+193+143+83</f>
        <v>833</v>
      </c>
      <c r="O9" s="1">
        <f t="shared" si="4"/>
        <v>2.1081135799969632</v>
      </c>
    </row>
    <row r="10" spans="1:15" ht="11.45" customHeight="1" x14ac:dyDescent="0.2">
      <c r="A10" s="1"/>
      <c r="B10" s="1">
        <v>30</v>
      </c>
      <c r="C10" s="5" t="s">
        <v>5</v>
      </c>
      <c r="D10" s="15" t="s">
        <v>102</v>
      </c>
      <c r="E10" s="16">
        <f>E8+E9</f>
        <v>84125</v>
      </c>
      <c r="F10" s="16">
        <f>F8+F9</f>
        <v>33905</v>
      </c>
      <c r="G10" s="16">
        <f t="shared" si="0"/>
        <v>40.303120356612183</v>
      </c>
      <c r="H10" s="16">
        <f>H8+H9</f>
        <v>11905</v>
      </c>
      <c r="I10" s="16">
        <f t="shared" si="1"/>
        <v>14.151560178306092</v>
      </c>
      <c r="J10" s="16">
        <f>J8+J9</f>
        <v>33010</v>
      </c>
      <c r="K10" s="16">
        <f t="shared" si="2"/>
        <v>39.239227340267462</v>
      </c>
      <c r="L10" s="16">
        <f>L8+L9</f>
        <v>3375</v>
      </c>
      <c r="M10" s="16">
        <f t="shared" si="3"/>
        <v>4.0118870728083209</v>
      </c>
      <c r="N10" s="16">
        <f>N8+N9</f>
        <v>1930</v>
      </c>
      <c r="O10" s="16">
        <f t="shared" si="4"/>
        <v>2.2942050520059434</v>
      </c>
    </row>
    <row r="11" spans="1:15" ht="11.45" customHeight="1" x14ac:dyDescent="0.2">
      <c r="A11" s="1">
        <v>74</v>
      </c>
      <c r="B11" s="1"/>
      <c r="C11" s="1"/>
      <c r="D11" s="15" t="s">
        <v>103</v>
      </c>
      <c r="E11" s="1">
        <f>F11+H11+J11+L11+N11</f>
        <v>25956</v>
      </c>
      <c r="F11" s="1">
        <v>10606</v>
      </c>
      <c r="G11" s="1">
        <f t="shared" si="0"/>
        <v>40.861457851749115</v>
      </c>
      <c r="H11" s="1">
        <v>7670</v>
      </c>
      <c r="I11" s="1">
        <f t="shared" si="1"/>
        <v>29.550007705347511</v>
      </c>
      <c r="J11" s="1">
        <v>5992</v>
      </c>
      <c r="K11" s="1">
        <f t="shared" si="2"/>
        <v>23.085221143473571</v>
      </c>
      <c r="L11" s="1">
        <v>1463</v>
      </c>
      <c r="M11" s="1">
        <f t="shared" si="3"/>
        <v>5.6364617044228691</v>
      </c>
      <c r="N11" s="1">
        <f>225</f>
        <v>225</v>
      </c>
      <c r="O11" s="1">
        <f t="shared" si="4"/>
        <v>0.86685159500693476</v>
      </c>
    </row>
    <row r="12" spans="1:15" ht="11.45" customHeight="1" x14ac:dyDescent="0.2">
      <c r="A12" s="1">
        <v>8</v>
      </c>
      <c r="B12" s="1"/>
      <c r="C12" s="1"/>
      <c r="D12" s="15" t="s">
        <v>104</v>
      </c>
      <c r="E12" s="1">
        <f>F12+H12+J12+L12+N12</f>
        <v>33774</v>
      </c>
      <c r="F12" s="1">
        <v>17055</v>
      </c>
      <c r="G12" s="1">
        <f t="shared" si="0"/>
        <v>50.497424054006039</v>
      </c>
      <c r="H12" s="1">
        <v>2314</v>
      </c>
      <c r="I12" s="1">
        <f t="shared" si="1"/>
        <v>6.8514241724403391</v>
      </c>
      <c r="J12" s="1">
        <v>12909</v>
      </c>
      <c r="K12" s="1">
        <f t="shared" si="2"/>
        <v>38.221709006928407</v>
      </c>
      <c r="L12" s="1">
        <v>729</v>
      </c>
      <c r="M12" s="1">
        <f t="shared" si="3"/>
        <v>2.1584650914904957</v>
      </c>
      <c r="N12" s="1">
        <v>767</v>
      </c>
      <c r="O12" s="1">
        <f t="shared" si="4"/>
        <v>2.270977675134719</v>
      </c>
    </row>
    <row r="13" spans="1:15" ht="11.45" customHeight="1" x14ac:dyDescent="0.2">
      <c r="A13" s="29"/>
      <c r="B13" s="5">
        <v>31</v>
      </c>
      <c r="C13" s="5" t="s">
        <v>5</v>
      </c>
      <c r="D13" s="18" t="s">
        <v>105</v>
      </c>
      <c r="E13" s="12">
        <f>E11+E12</f>
        <v>59730</v>
      </c>
      <c r="F13" s="12">
        <f>F11+F12</f>
        <v>27661</v>
      </c>
      <c r="G13" s="12">
        <f t="shared" si="0"/>
        <v>46.310061945421062</v>
      </c>
      <c r="H13" s="12">
        <f>H11+H12</f>
        <v>9984</v>
      </c>
      <c r="I13" s="12">
        <f t="shared" si="1"/>
        <v>16.715218483174283</v>
      </c>
      <c r="J13" s="12">
        <f>J11+J12</f>
        <v>18901</v>
      </c>
      <c r="K13" s="12">
        <f t="shared" si="2"/>
        <v>31.644064958982085</v>
      </c>
      <c r="L13" s="12">
        <f>L11+L12</f>
        <v>2192</v>
      </c>
      <c r="M13" s="12">
        <f t="shared" si="3"/>
        <v>3.6698476477482003</v>
      </c>
      <c r="N13" s="12">
        <f>N11+N12</f>
        <v>992</v>
      </c>
      <c r="O13" s="12">
        <f t="shared" si="4"/>
        <v>1.6608069646743679</v>
      </c>
    </row>
    <row r="14" spans="1:15" ht="11.45" customHeight="1" x14ac:dyDescent="0.2">
      <c r="A14" s="1"/>
      <c r="B14" s="1"/>
      <c r="C14" s="1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11.45" customHeight="1" x14ac:dyDescent="0.2">
      <c r="A15" s="1"/>
      <c r="B15" s="1"/>
      <c r="C15" s="1"/>
      <c r="D15" s="20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1.45" customHeight="1" x14ac:dyDescent="0.2">
      <c r="A16" s="1"/>
      <c r="B16" s="1"/>
      <c r="C16" s="1"/>
      <c r="D16" s="20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21" spans="1:15" ht="11.45" customHeight="1" x14ac:dyDescent="0.2">
      <c r="A21" t="s">
        <v>210</v>
      </c>
    </row>
    <row r="22" spans="1:15" ht="11.45" customHeight="1" x14ac:dyDescent="0.2">
      <c r="A22" s="55" t="s">
        <v>231</v>
      </c>
      <c r="B22" s="39"/>
      <c r="C22" s="39"/>
      <c r="D22" s="39"/>
      <c r="E22" s="51">
        <v>6</v>
      </c>
      <c r="F22" s="51">
        <v>4</v>
      </c>
      <c r="G22" s="39"/>
      <c r="H22" s="38">
        <v>0</v>
      </c>
      <c r="I22" s="38"/>
      <c r="J22" s="38">
        <v>2</v>
      </c>
      <c r="K22" s="38"/>
      <c r="L22" s="38">
        <v>0</v>
      </c>
      <c r="M22" s="39"/>
      <c r="N22" s="39"/>
      <c r="O22" s="39"/>
    </row>
    <row r="23" spans="1:15" ht="11.45" customHeight="1" x14ac:dyDescent="0.2">
      <c r="A23" s="55" t="s">
        <v>232</v>
      </c>
      <c r="B23" s="39"/>
      <c r="C23" s="39"/>
      <c r="D23" s="39"/>
      <c r="E23" s="46">
        <f>E7+E10+E13+E16+E19</f>
        <v>206955</v>
      </c>
      <c r="F23" s="46">
        <f>F7+F10+F13+F16+F19</f>
        <v>89011</v>
      </c>
      <c r="G23" s="46">
        <f>F23*100/$E23</f>
        <v>43.009833055495157</v>
      </c>
      <c r="H23" s="46">
        <f>H7+H10+H13+H16+H19</f>
        <v>28298</v>
      </c>
      <c r="I23" s="46">
        <f>H23*100/$E23</f>
        <v>13.673503901814405</v>
      </c>
      <c r="J23" s="46">
        <f>J7+J10+J13+J16+J19</f>
        <v>78339</v>
      </c>
      <c r="K23" s="46">
        <f>J23*100/$E23</f>
        <v>37.853156483293468</v>
      </c>
      <c r="L23" s="46">
        <f>L7+L10+L13+L16+L19</f>
        <v>7322</v>
      </c>
      <c r="M23" s="46">
        <f>L23*100/$E23</f>
        <v>3.5379671909352273</v>
      </c>
      <c r="N23" s="46">
        <f>N7+N10+N13+N16+N19</f>
        <v>3985</v>
      </c>
      <c r="O23" s="46">
        <f>N23*100/$E23</f>
        <v>1.9255393684617428</v>
      </c>
    </row>
    <row r="24" spans="1:15" s="28" customFormat="1" ht="11.45" customHeight="1" x14ac:dyDescent="0.2">
      <c r="A24" s="55"/>
      <c r="B24" s="39"/>
      <c r="C24" s="39"/>
      <c r="D24" s="3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11.45" customHeight="1" x14ac:dyDescent="0.2">
      <c r="A25" s="55" t="s">
        <v>241</v>
      </c>
      <c r="B25" s="39"/>
      <c r="C25" s="39"/>
      <c r="D25" s="3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1.45" customHeight="1" x14ac:dyDescent="0.2">
      <c r="A26" s="38" t="s">
        <v>233</v>
      </c>
      <c r="B26" s="39"/>
      <c r="C26" s="39"/>
      <c r="D26" s="39"/>
      <c r="E26" s="38">
        <f>F26+H26+J26+L26+N26</f>
        <v>3</v>
      </c>
      <c r="F26" s="38">
        <v>3</v>
      </c>
      <c r="G26" s="39"/>
      <c r="H26" s="38">
        <v>0</v>
      </c>
      <c r="I26" s="39"/>
      <c r="J26" s="38">
        <v>0</v>
      </c>
      <c r="K26" s="39"/>
      <c r="L26" s="38">
        <v>0</v>
      </c>
      <c r="M26" s="39"/>
      <c r="N26" s="38">
        <v>0</v>
      </c>
      <c r="O26" s="39"/>
    </row>
    <row r="27" spans="1:15" ht="11.45" customHeight="1" x14ac:dyDescent="0.2">
      <c r="A27" s="38" t="s">
        <v>234</v>
      </c>
      <c r="B27" s="39"/>
      <c r="C27" s="39"/>
      <c r="D27" s="39"/>
      <c r="E27" s="38">
        <f>F27+H27+J27+L27+N27</f>
        <v>2</v>
      </c>
      <c r="F27" s="38">
        <v>0</v>
      </c>
      <c r="G27" s="39"/>
      <c r="H27" s="38">
        <v>0</v>
      </c>
      <c r="I27" s="39"/>
      <c r="J27" s="38">
        <v>2</v>
      </c>
      <c r="K27" s="39"/>
      <c r="L27" s="38">
        <v>0</v>
      </c>
      <c r="M27" s="39"/>
      <c r="N27" s="38">
        <v>0</v>
      </c>
      <c r="O27" s="39"/>
    </row>
    <row r="28" spans="1:15" ht="11.45" customHeight="1" x14ac:dyDescent="0.2">
      <c r="A28" s="38" t="s">
        <v>244</v>
      </c>
      <c r="B28" s="39"/>
      <c r="C28" s="39"/>
      <c r="D28" s="39"/>
      <c r="E28" s="38"/>
      <c r="F28" s="38"/>
      <c r="G28" s="39"/>
      <c r="H28" s="38"/>
      <c r="I28" s="39"/>
      <c r="J28" s="38"/>
      <c r="K28" s="39"/>
      <c r="L28" s="39"/>
      <c r="M28" s="39"/>
      <c r="N28" s="39"/>
      <c r="O28" s="39"/>
    </row>
    <row r="29" spans="1:15" ht="11.45" customHeight="1" x14ac:dyDescent="0.2">
      <c r="A29" s="38" t="s">
        <v>237</v>
      </c>
      <c r="B29" s="38"/>
      <c r="C29" s="38"/>
      <c r="D29" s="38"/>
      <c r="E29" s="38"/>
      <c r="F29" s="38"/>
      <c r="G29" s="38">
        <v>50.01</v>
      </c>
      <c r="H29" s="38"/>
      <c r="I29" s="38">
        <v>0</v>
      </c>
      <c r="J29" s="38"/>
      <c r="K29" s="38">
        <v>33.340000000000003</v>
      </c>
      <c r="L29" s="38"/>
      <c r="M29" s="38"/>
      <c r="N29" s="38"/>
      <c r="O29" s="38"/>
    </row>
    <row r="30" spans="1:15" ht="11.45" customHeight="1" x14ac:dyDescent="0.2">
      <c r="A30" s="38" t="s">
        <v>255</v>
      </c>
      <c r="B30" s="39"/>
      <c r="C30" s="39"/>
      <c r="D30" s="39"/>
      <c r="E30" s="38"/>
      <c r="F30" s="38"/>
      <c r="G30" s="38">
        <f>G23-G29</f>
        <v>-7.0001669445048407</v>
      </c>
      <c r="H30" s="38"/>
      <c r="I30" s="38">
        <f>I23-I29</f>
        <v>13.673503901814405</v>
      </c>
      <c r="J30" s="38"/>
      <c r="K30" s="38">
        <f>K23-K29</f>
        <v>4.5131564832934643</v>
      </c>
      <c r="L30" s="39"/>
      <c r="M30" s="38">
        <f>M23-M29</f>
        <v>3.5379671909352273</v>
      </c>
      <c r="N30" s="38"/>
      <c r="O30" s="38">
        <f>O23-O29</f>
        <v>1.9255393684617428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1</v>
      </c>
      <c r="F31" s="53">
        <v>0</v>
      </c>
      <c r="G31" s="53"/>
      <c r="H31" s="53">
        <v>1</v>
      </c>
      <c r="I31" s="53"/>
      <c r="J31" s="53">
        <v>0</v>
      </c>
      <c r="K31" s="52"/>
      <c r="L31" s="53">
        <v>0</v>
      </c>
      <c r="M31" s="52"/>
      <c r="N31" s="52"/>
      <c r="O31" s="52"/>
    </row>
    <row r="32" spans="1:15" ht="11.45" customHeight="1" x14ac:dyDescent="0.2">
      <c r="A32" s="38" t="s">
        <v>239</v>
      </c>
      <c r="B32" s="39"/>
      <c r="C32" s="39"/>
      <c r="D32" s="39"/>
      <c r="E32" s="54">
        <f>E26+E27+E31</f>
        <v>6</v>
      </c>
      <c r="F32" s="38">
        <v>3</v>
      </c>
      <c r="G32" s="38"/>
      <c r="H32" s="38">
        <v>1</v>
      </c>
      <c r="I32" s="38"/>
      <c r="J32" s="38">
        <v>2</v>
      </c>
      <c r="K32" s="38"/>
      <c r="L32" s="38">
        <f>L27+L31</f>
        <v>0</v>
      </c>
      <c r="M32" s="38"/>
      <c r="N32" s="38">
        <f>N27+N31</f>
        <v>0</v>
      </c>
      <c r="O32" s="38"/>
    </row>
    <row r="33" spans="1:15" ht="11.45" customHeight="1" x14ac:dyDescent="0.2">
      <c r="A33" s="38" t="s">
        <v>245</v>
      </c>
      <c r="B33" s="39"/>
      <c r="C33" s="39"/>
      <c r="D33" s="39"/>
      <c r="E33" s="56">
        <f>G33+I33+K33+M33+O33</f>
        <v>90.02000000000001</v>
      </c>
      <c r="F33" s="38"/>
      <c r="G33" s="56">
        <v>43.01</v>
      </c>
      <c r="H33" s="38"/>
      <c r="I33" s="56">
        <v>13.67</v>
      </c>
      <c r="J33" s="38"/>
      <c r="K33" s="38">
        <v>33.340000000000003</v>
      </c>
      <c r="L33" s="38"/>
      <c r="M33" s="38">
        <v>0</v>
      </c>
      <c r="N33" s="38"/>
      <c r="O33" s="38">
        <v>0</v>
      </c>
    </row>
    <row r="34" spans="1:15" ht="11.45" customHeight="1" x14ac:dyDescent="0.2">
      <c r="A34" s="38" t="s">
        <v>314</v>
      </c>
      <c r="E34" s="54">
        <f>F34+H34+J34+L34</f>
        <v>186300.891</v>
      </c>
      <c r="F34" s="38">
        <f>G33*$E23/100</f>
        <v>89011.345499999996</v>
      </c>
      <c r="G34" s="38"/>
      <c r="H34" s="38">
        <f>I33*$E23/100</f>
        <v>28290.748500000002</v>
      </c>
      <c r="I34" s="38"/>
      <c r="J34" s="38">
        <f>K33*$E23/100</f>
        <v>68998.797000000006</v>
      </c>
      <c r="K34" s="38"/>
      <c r="L34" s="38">
        <f>M33*$E23/100</f>
        <v>0</v>
      </c>
      <c r="M34">
        <v>0</v>
      </c>
      <c r="N34" s="38">
        <f>O33*$E23/100</f>
        <v>0</v>
      </c>
      <c r="O34" s="38"/>
    </row>
    <row r="35" spans="1:15" ht="11.45" customHeight="1" x14ac:dyDescent="0.2">
      <c r="A35" s="79" t="s">
        <v>313</v>
      </c>
      <c r="B35" s="80"/>
      <c r="C35" s="80"/>
      <c r="D35" s="80"/>
      <c r="E35" s="68">
        <v>0.9</v>
      </c>
      <c r="F35" s="63"/>
      <c r="G35" s="68">
        <v>0.43</v>
      </c>
      <c r="H35" s="63"/>
      <c r="I35" s="68">
        <v>0.13700000000000001</v>
      </c>
      <c r="J35" s="63"/>
      <c r="K35" s="68">
        <v>0.33300000000000002</v>
      </c>
      <c r="L35" s="63"/>
      <c r="M35" s="68">
        <v>0</v>
      </c>
      <c r="N35" s="63"/>
      <c r="O35" s="63"/>
    </row>
    <row r="36" spans="1:15" ht="11.45" customHeight="1" x14ac:dyDescent="0.2">
      <c r="A36" s="81" t="s">
        <v>312</v>
      </c>
      <c r="B36" s="82"/>
      <c r="C36" s="82"/>
      <c r="D36" s="82"/>
      <c r="E36" s="62" t="s">
        <v>308</v>
      </c>
      <c r="F36" s="38"/>
      <c r="G36" s="78">
        <v>0.30399999999999999</v>
      </c>
      <c r="H36" s="38"/>
      <c r="I36" s="77">
        <v>0</v>
      </c>
      <c r="K36" s="62" t="s">
        <v>307</v>
      </c>
      <c r="L36" s="38"/>
      <c r="M36" s="62" t="s">
        <v>260</v>
      </c>
      <c r="N36" s="38"/>
    </row>
    <row r="37" spans="1:15" ht="11.45" customHeight="1" x14ac:dyDescent="0.2">
      <c r="A37" s="38" t="s">
        <v>240</v>
      </c>
      <c r="B37" s="39"/>
      <c r="C37" s="39"/>
      <c r="D37" s="39"/>
    </row>
    <row r="38" spans="1:15" ht="11.45" customHeight="1" x14ac:dyDescent="0.2">
      <c r="A38" s="38" t="s">
        <v>252</v>
      </c>
      <c r="B38" s="39"/>
      <c r="C38" s="39"/>
      <c r="D38" s="39"/>
    </row>
    <row r="39" spans="1:15" ht="11.45" customHeight="1" x14ac:dyDescent="0.2">
      <c r="A39" s="61" t="s">
        <v>276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11.45" customHeight="1" x14ac:dyDescent="0.2">
      <c r="A40" s="38" t="s">
        <v>253</v>
      </c>
      <c r="E40" s="28">
        <f>F40+H40+J40+L40+N40</f>
        <v>100003</v>
      </c>
      <c r="F40" s="28">
        <f>F23-F6-F8</f>
        <v>62967</v>
      </c>
      <c r="G40" s="28">
        <f>F40*100/$E23</f>
        <v>30.425454809016454</v>
      </c>
      <c r="H40" s="28">
        <v>0</v>
      </c>
      <c r="I40" s="28">
        <f>H40*100/$E23</f>
        <v>0</v>
      </c>
      <c r="J40" s="28">
        <f>J6+J8</f>
        <v>37036</v>
      </c>
      <c r="K40" s="28">
        <f>J40*100/$E23</f>
        <v>17.895677804353603</v>
      </c>
      <c r="L40" s="28">
        <v>0</v>
      </c>
      <c r="M40" s="28">
        <f>L40*100/$E23</f>
        <v>0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E41" s="95" t="s">
        <v>308</v>
      </c>
      <c r="F41" s="83"/>
      <c r="G41" s="95" t="s">
        <v>326</v>
      </c>
      <c r="H41" s="83"/>
      <c r="I41" s="95" t="s">
        <v>260</v>
      </c>
      <c r="J41" s="83"/>
      <c r="K41" s="95" t="s">
        <v>327</v>
      </c>
      <c r="L41" s="28"/>
      <c r="M41" s="95" t="s">
        <v>260</v>
      </c>
      <c r="N41" s="28"/>
      <c r="O41" s="95" t="s">
        <v>260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50" zoomScaleNormal="150" workbookViewId="0">
      <pane ySplit="4" topLeftCell="A10" activePane="bottomLeft" state="frozen"/>
      <selection pane="bottomLeft" activeCell="E36" sqref="E36"/>
    </sheetView>
  </sheetViews>
  <sheetFormatPr defaultColWidth="11.5703125" defaultRowHeight="11.45" customHeight="1" x14ac:dyDescent="0.2"/>
  <cols>
    <col min="1" max="1" width="5.5703125" customWidth="1"/>
    <col min="2" max="3" width="5.140625" customWidth="1"/>
    <col min="4" max="4" width="12.85546875" customWidth="1"/>
    <col min="5" max="5" width="6.42578125" customWidth="1"/>
    <col min="6" max="8" width="5" customWidth="1"/>
    <col min="9" max="9" width="5.7109375" customWidth="1"/>
    <col min="10" max="12" width="5" customWidth="1"/>
    <col min="13" max="13" width="5.140625" customWidth="1"/>
    <col min="14" max="14" width="4.5703125" customWidth="1"/>
    <col min="15" max="15" width="5" customWidth="1"/>
  </cols>
  <sheetData>
    <row r="1" spans="1:15" ht="12.75" customHeight="1" x14ac:dyDescent="0.2">
      <c r="A1" t="s">
        <v>331</v>
      </c>
    </row>
    <row r="2" spans="1:15" ht="12.75" customHeight="1" x14ac:dyDescent="0.2">
      <c r="A2" s="35" t="s">
        <v>220</v>
      </c>
    </row>
    <row r="3" spans="1:15" ht="12.75" customHeight="1" x14ac:dyDescent="0.2">
      <c r="E3" s="35" t="s">
        <v>205</v>
      </c>
    </row>
    <row r="4" spans="1:15" ht="12.75" customHeight="1" x14ac:dyDescent="0.2">
      <c r="A4" s="36" t="s">
        <v>206</v>
      </c>
      <c r="B4" s="36" t="s">
        <v>207</v>
      </c>
      <c r="C4" s="36" t="s">
        <v>208</v>
      </c>
      <c r="D4" s="37" t="s">
        <v>209</v>
      </c>
      <c r="E4" s="6" t="s">
        <v>4</v>
      </c>
      <c r="F4" s="7" t="s">
        <v>5</v>
      </c>
      <c r="G4" s="7" t="s">
        <v>6</v>
      </c>
      <c r="H4" s="8" t="s">
        <v>7</v>
      </c>
      <c r="I4" s="8" t="s">
        <v>6</v>
      </c>
      <c r="J4" s="9" t="s">
        <v>8</v>
      </c>
      <c r="K4" s="9" t="s">
        <v>6</v>
      </c>
      <c r="L4" s="10" t="s">
        <v>9</v>
      </c>
      <c r="M4" s="10" t="s">
        <v>6</v>
      </c>
      <c r="N4" s="6" t="s">
        <v>10</v>
      </c>
      <c r="O4" s="6" t="s">
        <v>6</v>
      </c>
    </row>
    <row r="5" spans="1:15" ht="11.45" customHeight="1" x14ac:dyDescent="0.2">
      <c r="A5" s="1">
        <v>6</v>
      </c>
      <c r="B5" s="1"/>
      <c r="C5" s="1"/>
      <c r="D5" s="20" t="s">
        <v>106</v>
      </c>
      <c r="E5" s="1">
        <f>F5+H5+J5+L5+N5</f>
        <v>42637</v>
      </c>
      <c r="F5" s="1">
        <v>12881</v>
      </c>
      <c r="G5" s="1">
        <f t="shared" ref="G5:G13" si="0">F5*100/$E5</f>
        <v>30.210849731453902</v>
      </c>
      <c r="H5" s="1">
        <v>7278</v>
      </c>
      <c r="I5" s="1">
        <f t="shared" ref="I5:I13" si="1">H5*100/$E5</f>
        <v>17.069681262753008</v>
      </c>
      <c r="J5" s="1">
        <v>19396</v>
      </c>
      <c r="K5" s="1">
        <f t="shared" ref="K5:K13" si="2">J5*100/$E5</f>
        <v>45.491005464737199</v>
      </c>
      <c r="L5" s="1">
        <v>2222</v>
      </c>
      <c r="M5" s="1">
        <f t="shared" ref="M5:M13" si="3">L5*100/$E5</f>
        <v>5.2114360766470433</v>
      </c>
      <c r="N5" s="1">
        <f>475+385</f>
        <v>860</v>
      </c>
      <c r="O5" s="1">
        <f t="shared" ref="O5:O13" si="4">N5*100/$E5</f>
        <v>2.0170274644088466</v>
      </c>
    </row>
    <row r="6" spans="1:15" ht="11.45" customHeight="1" x14ac:dyDescent="0.2">
      <c r="A6" s="1">
        <v>82</v>
      </c>
      <c r="B6" s="1"/>
      <c r="C6" s="1"/>
      <c r="D6" s="20" t="s">
        <v>107</v>
      </c>
      <c r="E6" s="1">
        <f>F6+H6+J6+L6+N6</f>
        <v>28894</v>
      </c>
      <c r="F6" s="1">
        <v>8036</v>
      </c>
      <c r="G6" s="1">
        <f t="shared" si="0"/>
        <v>27.812002491866824</v>
      </c>
      <c r="H6" s="1">
        <v>6439</v>
      </c>
      <c r="I6" s="1">
        <f t="shared" si="1"/>
        <v>22.284903440160587</v>
      </c>
      <c r="J6" s="1">
        <v>11168</v>
      </c>
      <c r="K6" s="1">
        <f t="shared" si="2"/>
        <v>38.651623174361461</v>
      </c>
      <c r="L6" s="1">
        <v>2280</v>
      </c>
      <c r="M6" s="1">
        <f t="shared" si="3"/>
        <v>7.8909116079462862</v>
      </c>
      <c r="N6" s="1">
        <f>638+333</f>
        <v>971</v>
      </c>
      <c r="O6" s="1">
        <f t="shared" si="4"/>
        <v>3.3605592856648441</v>
      </c>
    </row>
    <row r="7" spans="1:15" ht="11.45" customHeight="1" x14ac:dyDescent="0.2">
      <c r="A7" s="1"/>
      <c r="B7" s="1">
        <v>32</v>
      </c>
      <c r="C7" s="1" t="s">
        <v>8</v>
      </c>
      <c r="D7" s="20" t="s">
        <v>108</v>
      </c>
      <c r="E7" s="16">
        <f>E5+E6</f>
        <v>71531</v>
      </c>
      <c r="F7" s="16">
        <f>F5+F6</f>
        <v>20917</v>
      </c>
      <c r="G7" s="16">
        <f t="shared" si="0"/>
        <v>29.24186716248899</v>
      </c>
      <c r="H7" s="16">
        <f>H5+H6</f>
        <v>13717</v>
      </c>
      <c r="I7" s="16">
        <f t="shared" si="1"/>
        <v>19.176301184101998</v>
      </c>
      <c r="J7" s="16">
        <f>J5+J6</f>
        <v>30564</v>
      </c>
      <c r="K7" s="16">
        <f t="shared" si="2"/>
        <v>42.728327578252788</v>
      </c>
      <c r="L7" s="16">
        <f>L5+L6</f>
        <v>4502</v>
      </c>
      <c r="M7" s="16">
        <f t="shared" si="3"/>
        <v>6.2937747270414226</v>
      </c>
      <c r="N7" s="16">
        <f>N5+N6</f>
        <v>1831</v>
      </c>
      <c r="O7" s="16">
        <f t="shared" si="4"/>
        <v>2.5597293481148036</v>
      </c>
    </row>
    <row r="8" spans="1:15" ht="11.45" customHeight="1" x14ac:dyDescent="0.2">
      <c r="A8" s="1">
        <v>33</v>
      </c>
      <c r="B8" s="1"/>
      <c r="C8" s="1"/>
      <c r="D8" s="20" t="s">
        <v>109</v>
      </c>
      <c r="E8" s="1">
        <f>F8+H8+J8+L8+N8</f>
        <v>34070</v>
      </c>
      <c r="F8" s="1">
        <v>8595</v>
      </c>
      <c r="G8" s="1">
        <f t="shared" si="0"/>
        <v>25.227472850014674</v>
      </c>
      <c r="H8" s="1">
        <v>8958</v>
      </c>
      <c r="I8" s="1">
        <f t="shared" si="1"/>
        <v>26.292926328147932</v>
      </c>
      <c r="J8" s="1">
        <v>13600</v>
      </c>
      <c r="K8" s="1">
        <f t="shared" si="2"/>
        <v>39.91781626063986</v>
      </c>
      <c r="L8" s="1">
        <v>2116</v>
      </c>
      <c r="M8" s="1">
        <f t="shared" si="3"/>
        <v>6.2107425887877898</v>
      </c>
      <c r="N8" s="1">
        <f>361+285+155</f>
        <v>801</v>
      </c>
      <c r="O8" s="1">
        <f t="shared" si="4"/>
        <v>2.3510419724097447</v>
      </c>
    </row>
    <row r="9" spans="1:15" ht="11.45" customHeight="1" x14ac:dyDescent="0.2">
      <c r="A9" s="1">
        <v>51</v>
      </c>
      <c r="B9" s="1"/>
      <c r="C9" s="1"/>
      <c r="D9" s="20" t="s">
        <v>110</v>
      </c>
      <c r="E9" s="1">
        <f>F9+H9+J9+L9+N9</f>
        <v>37734</v>
      </c>
      <c r="F9" s="1">
        <v>8909</v>
      </c>
      <c r="G9" s="1">
        <f t="shared" si="0"/>
        <v>23.610006890337626</v>
      </c>
      <c r="H9" s="1">
        <v>11768</v>
      </c>
      <c r="I9" s="1">
        <f t="shared" si="1"/>
        <v>31.186728149679336</v>
      </c>
      <c r="J9" s="1">
        <v>13621</v>
      </c>
      <c r="K9" s="1">
        <f t="shared" si="2"/>
        <v>36.097418773519905</v>
      </c>
      <c r="L9" s="1">
        <v>2365</v>
      </c>
      <c r="M9" s="1">
        <f t="shared" si="3"/>
        <v>6.2675571102984042</v>
      </c>
      <c r="N9" s="1">
        <f>502+304+265</f>
        <v>1071</v>
      </c>
      <c r="O9" s="1">
        <f t="shared" si="4"/>
        <v>2.8382890761647319</v>
      </c>
    </row>
    <row r="10" spans="1:15" ht="11.45" customHeight="1" x14ac:dyDescent="0.2">
      <c r="A10" s="1"/>
      <c r="B10" s="1">
        <v>33</v>
      </c>
      <c r="C10" s="1" t="s">
        <v>8</v>
      </c>
      <c r="D10" s="20" t="s">
        <v>111</v>
      </c>
      <c r="E10" s="16">
        <f>E8+E9</f>
        <v>71804</v>
      </c>
      <c r="F10" s="16">
        <f>F8+F9</f>
        <v>17504</v>
      </c>
      <c r="G10" s="16">
        <f t="shared" si="0"/>
        <v>24.377472007130521</v>
      </c>
      <c r="H10" s="16">
        <f>H8+H9</f>
        <v>20726</v>
      </c>
      <c r="I10" s="16">
        <f t="shared" si="1"/>
        <v>28.864687204055485</v>
      </c>
      <c r="J10" s="16">
        <f>J8+J9</f>
        <v>27221</v>
      </c>
      <c r="K10" s="16">
        <f t="shared" si="2"/>
        <v>37.910144281655619</v>
      </c>
      <c r="L10" s="16">
        <f>L8+L9</f>
        <v>4481</v>
      </c>
      <c r="M10" s="16">
        <f t="shared" si="3"/>
        <v>6.2405994095036492</v>
      </c>
      <c r="N10" s="16">
        <f>N8+N9</f>
        <v>1872</v>
      </c>
      <c r="O10" s="16">
        <f t="shared" si="4"/>
        <v>2.607097097654727</v>
      </c>
    </row>
    <row r="11" spans="1:15" ht="11.45" customHeight="1" x14ac:dyDescent="0.2">
      <c r="A11" s="1">
        <v>92</v>
      </c>
      <c r="B11" s="1"/>
      <c r="C11" s="1"/>
      <c r="D11" s="17" t="s">
        <v>112</v>
      </c>
      <c r="E11" s="1">
        <f>F11+H11+J11+L11+N11</f>
        <v>29984</v>
      </c>
      <c r="F11" s="1">
        <v>7687</v>
      </c>
      <c r="G11" s="1">
        <f t="shared" si="0"/>
        <v>25.637006403415153</v>
      </c>
      <c r="H11" s="1">
        <v>11695</v>
      </c>
      <c r="I11" s="1">
        <f t="shared" si="1"/>
        <v>39.00413553895411</v>
      </c>
      <c r="J11" s="1">
        <v>8035</v>
      </c>
      <c r="K11" s="1">
        <f t="shared" si="2"/>
        <v>26.797625400213448</v>
      </c>
      <c r="L11" s="1">
        <v>1589</v>
      </c>
      <c r="M11" s="1">
        <f t="shared" si="3"/>
        <v>5.2994930629669152</v>
      </c>
      <c r="N11" s="1">
        <f>403+360+215</f>
        <v>978</v>
      </c>
      <c r="O11" s="1">
        <f t="shared" si="4"/>
        <v>3.2617395944503733</v>
      </c>
    </row>
    <row r="12" spans="1:15" ht="11.45" customHeight="1" x14ac:dyDescent="0.2">
      <c r="A12" s="1">
        <v>103</v>
      </c>
      <c r="B12" s="1"/>
      <c r="C12" s="1"/>
      <c r="D12" s="20" t="s">
        <v>113</v>
      </c>
      <c r="E12" s="1">
        <f>F12+H12+J12+L12+N12</f>
        <v>40443</v>
      </c>
      <c r="F12" s="1">
        <v>11701</v>
      </c>
      <c r="G12" s="1">
        <f t="shared" si="0"/>
        <v>28.932077244516975</v>
      </c>
      <c r="H12" s="1">
        <v>12023</v>
      </c>
      <c r="I12" s="1">
        <f t="shared" si="1"/>
        <v>29.728259525752293</v>
      </c>
      <c r="J12" s="1">
        <v>13245</v>
      </c>
      <c r="K12" s="1">
        <f t="shared" si="2"/>
        <v>32.749796009198128</v>
      </c>
      <c r="L12" s="1">
        <v>2796</v>
      </c>
      <c r="M12" s="1">
        <f t="shared" si="3"/>
        <v>6.9134337215340107</v>
      </c>
      <c r="N12" s="1">
        <f>374+304</f>
        <v>678</v>
      </c>
      <c r="O12" s="1">
        <f t="shared" si="4"/>
        <v>1.6764334989985905</v>
      </c>
    </row>
    <row r="13" spans="1:15" ht="11.45" customHeight="1" x14ac:dyDescent="0.2">
      <c r="A13" s="5"/>
      <c r="B13" s="5">
        <v>34</v>
      </c>
      <c r="C13" s="5" t="s">
        <v>7</v>
      </c>
      <c r="D13" s="19" t="s">
        <v>114</v>
      </c>
      <c r="E13" s="12">
        <f>E11+E12</f>
        <v>70427</v>
      </c>
      <c r="F13" s="12">
        <f>F11+F12</f>
        <v>19388</v>
      </c>
      <c r="G13" s="12">
        <f t="shared" si="0"/>
        <v>27.529214647791331</v>
      </c>
      <c r="H13" s="12">
        <f>H11+H12</f>
        <v>23718</v>
      </c>
      <c r="I13" s="12">
        <f t="shared" si="1"/>
        <v>33.677424851264426</v>
      </c>
      <c r="J13" s="12">
        <f>J11+J12</f>
        <v>21280</v>
      </c>
      <c r="K13" s="12">
        <f t="shared" si="2"/>
        <v>30.215684325613758</v>
      </c>
      <c r="L13" s="12">
        <f>L11+L12</f>
        <v>4385</v>
      </c>
      <c r="M13" s="12">
        <f t="shared" si="3"/>
        <v>6.2263052522470073</v>
      </c>
      <c r="N13" s="12">
        <f>N11+N12</f>
        <v>1656</v>
      </c>
      <c r="O13" s="12">
        <f t="shared" si="4"/>
        <v>2.3513709230834765</v>
      </c>
    </row>
    <row r="14" spans="1:15" ht="11.45" customHeight="1" x14ac:dyDescent="0.2">
      <c r="A14" s="1"/>
      <c r="B14" s="1"/>
      <c r="C14" s="1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11.45" customHeight="1" x14ac:dyDescent="0.2">
      <c r="A15" s="1"/>
      <c r="B15" s="1"/>
      <c r="C15" s="1"/>
      <c r="D15" s="20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1.45" customHeight="1" x14ac:dyDescent="0.2">
      <c r="A16" s="1"/>
      <c r="B16" s="1"/>
      <c r="C16" s="1"/>
      <c r="D16" s="20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21" spans="1:15" ht="11.45" customHeight="1" x14ac:dyDescent="0.2">
      <c r="A21" s="39" t="s">
        <v>210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11.45" customHeight="1" x14ac:dyDescent="0.2">
      <c r="A22" s="55" t="s">
        <v>231</v>
      </c>
      <c r="B22" s="39"/>
      <c r="C22" s="39"/>
      <c r="D22" s="39"/>
      <c r="E22" s="51">
        <v>6</v>
      </c>
      <c r="F22" s="51">
        <v>0</v>
      </c>
      <c r="G22" s="39"/>
      <c r="H22" s="38">
        <v>1</v>
      </c>
      <c r="I22" s="38"/>
      <c r="J22" s="38">
        <v>5</v>
      </c>
      <c r="K22" s="38"/>
      <c r="L22" s="38">
        <v>0</v>
      </c>
      <c r="M22" s="39"/>
      <c r="N22" s="39"/>
      <c r="O22" s="39"/>
    </row>
    <row r="23" spans="1:15" ht="11.45" customHeight="1" x14ac:dyDescent="0.2">
      <c r="A23" s="55" t="s">
        <v>232</v>
      </c>
      <c r="B23" s="39"/>
      <c r="C23" s="39"/>
      <c r="D23" s="39"/>
      <c r="E23" s="1">
        <f>E7+E10+E13+E16+E19</f>
        <v>213762</v>
      </c>
      <c r="F23" s="1">
        <f>F7+F10+F13+F16+F19</f>
        <v>57809</v>
      </c>
      <c r="G23" s="1">
        <f>F23*100/$E23</f>
        <v>27.043627960067738</v>
      </c>
      <c r="H23" s="1">
        <f>H7+H10+H13+H16+H19</f>
        <v>58161</v>
      </c>
      <c r="I23" s="1">
        <f>H23*100/$E23</f>
        <v>27.208297078058777</v>
      </c>
      <c r="J23" s="1">
        <f>J7+J10+J13+J16+J19</f>
        <v>79065</v>
      </c>
      <c r="K23" s="1">
        <f>J23*100/$E23</f>
        <v>36.987397198753754</v>
      </c>
      <c r="L23" s="1">
        <f>L7+L10+L13+L16+L19</f>
        <v>13368</v>
      </c>
      <c r="M23" s="1">
        <f>L23*100/$E23</f>
        <v>6.2536840037050547</v>
      </c>
      <c r="N23" s="1">
        <f>N7+N10+N13+N16+N19</f>
        <v>5359</v>
      </c>
      <c r="O23" s="1">
        <f>N23*100/$E23</f>
        <v>2.5069937594146761</v>
      </c>
    </row>
    <row r="24" spans="1:15" s="28" customFormat="1" ht="11.45" customHeight="1" x14ac:dyDescent="0.2">
      <c r="A24" s="55"/>
      <c r="B24" s="39"/>
      <c r="C24" s="39"/>
      <c r="D24" s="3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11.45" customHeight="1" x14ac:dyDescent="0.2">
      <c r="A25" s="55" t="s">
        <v>241</v>
      </c>
      <c r="B25" s="39"/>
      <c r="C25" s="39"/>
      <c r="D25" s="3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1.45" customHeight="1" x14ac:dyDescent="0.2">
      <c r="A26" s="38" t="s">
        <v>233</v>
      </c>
      <c r="B26" s="39"/>
      <c r="C26" s="39"/>
      <c r="D26" s="39"/>
      <c r="E26" s="38">
        <f>F26+H26+J26+L26+N26</f>
        <v>3</v>
      </c>
      <c r="F26" s="38">
        <v>0</v>
      </c>
      <c r="G26" s="39"/>
      <c r="H26" s="38">
        <v>1</v>
      </c>
      <c r="I26" s="39"/>
      <c r="J26" s="38">
        <v>2</v>
      </c>
      <c r="K26" s="39"/>
      <c r="L26" s="38">
        <v>0</v>
      </c>
      <c r="M26" s="39"/>
      <c r="N26" s="38">
        <v>0</v>
      </c>
      <c r="O26" s="39"/>
    </row>
    <row r="27" spans="1:15" ht="11.45" customHeight="1" x14ac:dyDescent="0.2">
      <c r="A27" s="38" t="s">
        <v>234</v>
      </c>
      <c r="B27" s="39"/>
      <c r="C27" s="39"/>
      <c r="D27" s="39"/>
      <c r="E27" s="38">
        <f>F27+H27+J27+L27+N27</f>
        <v>1</v>
      </c>
      <c r="F27" s="38">
        <v>1</v>
      </c>
      <c r="G27" s="39"/>
      <c r="H27" s="38">
        <v>0</v>
      </c>
      <c r="I27" s="39"/>
      <c r="J27" s="38">
        <v>0</v>
      </c>
      <c r="K27" s="39"/>
      <c r="L27" s="38">
        <v>0</v>
      </c>
      <c r="M27" s="38"/>
      <c r="N27" s="38">
        <v>0</v>
      </c>
      <c r="O27" s="39"/>
    </row>
    <row r="28" spans="1:15" ht="11.45" customHeight="1" x14ac:dyDescent="0.2">
      <c r="A28" s="38" t="s">
        <v>246</v>
      </c>
      <c r="B28" s="39"/>
      <c r="C28" s="39"/>
      <c r="D28" s="39"/>
      <c r="E28" s="38"/>
      <c r="F28" s="38"/>
      <c r="G28" s="39"/>
      <c r="H28" s="38"/>
      <c r="I28" s="39"/>
      <c r="J28" s="38"/>
      <c r="K28" s="39"/>
      <c r="L28" s="39"/>
      <c r="M28" s="39"/>
      <c r="N28" s="39"/>
      <c r="O28" s="39"/>
    </row>
    <row r="29" spans="1:15" ht="11.45" customHeight="1" x14ac:dyDescent="0.2">
      <c r="A29" s="38" t="s">
        <v>237</v>
      </c>
      <c r="B29" s="38"/>
      <c r="C29" s="38"/>
      <c r="D29" s="38"/>
      <c r="E29" s="38"/>
      <c r="F29" s="38"/>
      <c r="G29" s="38">
        <f>1*16.67</f>
        <v>16.670000000000002</v>
      </c>
      <c r="H29" s="38"/>
      <c r="I29" s="38">
        <f>1*16.67</f>
        <v>16.670000000000002</v>
      </c>
      <c r="J29" s="38"/>
      <c r="K29" s="38">
        <f>2*16.67</f>
        <v>33.340000000000003</v>
      </c>
      <c r="L29" s="38"/>
      <c r="M29" s="38"/>
      <c r="N29" s="38"/>
      <c r="O29" s="38"/>
    </row>
    <row r="30" spans="1:15" ht="11.45" customHeight="1" x14ac:dyDescent="0.2">
      <c r="A30" s="38" t="s">
        <v>255</v>
      </c>
      <c r="B30" s="39"/>
      <c r="C30" s="39"/>
      <c r="D30" s="39"/>
      <c r="E30" s="38"/>
      <c r="F30" s="38"/>
      <c r="G30" s="38">
        <f>G23-G29</f>
        <v>10.373627960067736</v>
      </c>
      <c r="H30" s="38"/>
      <c r="I30" s="38">
        <f>I23-I29</f>
        <v>10.538297078058775</v>
      </c>
      <c r="J30" s="38"/>
      <c r="K30" s="38">
        <f>K23-K29</f>
        <v>3.647397198753751</v>
      </c>
      <c r="L30" s="39"/>
      <c r="M30" s="38">
        <f>M23-M29</f>
        <v>6.2536840037050547</v>
      </c>
      <c r="N30" s="38"/>
      <c r="O30" s="38">
        <f>O23-O29</f>
        <v>2.5069937594146761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2</v>
      </c>
      <c r="F31" s="53">
        <v>1</v>
      </c>
      <c r="G31" s="53"/>
      <c r="H31" s="53">
        <v>1</v>
      </c>
      <c r="I31" s="53"/>
      <c r="J31" s="53">
        <v>0</v>
      </c>
      <c r="K31" s="52"/>
      <c r="L31" s="53">
        <v>0</v>
      </c>
      <c r="M31" s="52"/>
      <c r="N31" s="53">
        <v>0</v>
      </c>
      <c r="O31" s="52"/>
    </row>
    <row r="32" spans="1:15" ht="11.45" customHeight="1" x14ac:dyDescent="0.2">
      <c r="A32" s="38" t="s">
        <v>239</v>
      </c>
      <c r="B32" s="39"/>
      <c r="C32" s="39"/>
      <c r="D32" s="39"/>
      <c r="E32" s="54">
        <f>E26+E27+E31</f>
        <v>6</v>
      </c>
      <c r="F32" s="38">
        <f>F26+F27+F31</f>
        <v>2</v>
      </c>
      <c r="G32" s="38">
        <f t="shared" ref="G32:O32" si="5">G26+G27+G31</f>
        <v>0</v>
      </c>
      <c r="H32" s="38">
        <f t="shared" si="5"/>
        <v>2</v>
      </c>
      <c r="I32" s="38">
        <f t="shared" si="5"/>
        <v>0</v>
      </c>
      <c r="J32" s="38">
        <f t="shared" si="5"/>
        <v>2</v>
      </c>
      <c r="K32" s="38">
        <f t="shared" si="5"/>
        <v>0</v>
      </c>
      <c r="L32" s="38">
        <f t="shared" si="5"/>
        <v>0</v>
      </c>
      <c r="M32" s="38">
        <f t="shared" si="5"/>
        <v>0</v>
      </c>
      <c r="N32" s="38">
        <f t="shared" si="5"/>
        <v>0</v>
      </c>
      <c r="O32" s="38">
        <f t="shared" si="5"/>
        <v>0</v>
      </c>
    </row>
    <row r="33" spans="1:15" ht="11.45" customHeight="1" x14ac:dyDescent="0.2">
      <c r="A33" s="38" t="s">
        <v>245</v>
      </c>
      <c r="B33" s="39"/>
      <c r="C33" s="39"/>
      <c r="D33" s="39"/>
      <c r="E33" s="56">
        <f>G33+I33+K33+M33</f>
        <v>87.59</v>
      </c>
      <c r="F33" s="38"/>
      <c r="G33" s="38">
        <v>27.04</v>
      </c>
      <c r="H33" s="38"/>
      <c r="I33" s="38">
        <v>27.21</v>
      </c>
      <c r="J33" s="38"/>
      <c r="K33" s="38">
        <v>33.340000000000003</v>
      </c>
      <c r="L33" s="38"/>
      <c r="M33" s="38">
        <v>0</v>
      </c>
      <c r="N33" s="38"/>
      <c r="O33" s="38"/>
    </row>
    <row r="34" spans="1:15" ht="11.45" customHeight="1" x14ac:dyDescent="0.2">
      <c r="A34" s="38" t="s">
        <v>314</v>
      </c>
      <c r="E34" s="54">
        <f>F34+H34+J34</f>
        <v>187234.13579999999</v>
      </c>
      <c r="F34" s="38">
        <f>G33*$E23/100</f>
        <v>57801.244799999993</v>
      </c>
      <c r="G34" s="38"/>
      <c r="H34" s="38">
        <f>I33*$E23/100</f>
        <v>58164.640200000002</v>
      </c>
      <c r="I34" s="38"/>
      <c r="J34" s="38">
        <f>K33*$E23/100</f>
        <v>71268.250800000009</v>
      </c>
      <c r="K34" s="38"/>
      <c r="L34" s="38">
        <v>0</v>
      </c>
      <c r="N34" s="38"/>
      <c r="O34" s="38"/>
    </row>
    <row r="35" spans="1:15" ht="11.45" customHeight="1" x14ac:dyDescent="0.2">
      <c r="A35" s="79" t="s">
        <v>313</v>
      </c>
      <c r="B35" s="80"/>
      <c r="C35" s="80"/>
      <c r="D35" s="80"/>
      <c r="E35" s="67" t="s">
        <v>333</v>
      </c>
      <c r="F35" s="63"/>
      <c r="G35" s="67" t="s">
        <v>261</v>
      </c>
      <c r="H35" s="63"/>
      <c r="I35" s="67" t="s">
        <v>262</v>
      </c>
      <c r="J35" s="63"/>
      <c r="K35" s="67" t="s">
        <v>264</v>
      </c>
      <c r="L35" s="63"/>
      <c r="M35" s="63"/>
      <c r="N35" s="63"/>
      <c r="O35" s="63"/>
    </row>
    <row r="36" spans="1:15" ht="11.45" customHeight="1" x14ac:dyDescent="0.2">
      <c r="A36" s="81" t="s">
        <v>312</v>
      </c>
      <c r="B36" s="82"/>
      <c r="C36" s="82"/>
      <c r="D36" s="82"/>
      <c r="E36" s="62" t="s">
        <v>275</v>
      </c>
      <c r="F36" s="38"/>
      <c r="G36" s="62" t="s">
        <v>260</v>
      </c>
      <c r="H36" s="38"/>
      <c r="I36" s="62" t="s">
        <v>273</v>
      </c>
      <c r="K36" s="62" t="s">
        <v>274</v>
      </c>
      <c r="L36" s="38"/>
      <c r="M36" s="62" t="s">
        <v>260</v>
      </c>
      <c r="N36" s="38"/>
      <c r="O36" s="57" t="s">
        <v>260</v>
      </c>
    </row>
    <row r="37" spans="1:15" ht="11.45" customHeight="1" x14ac:dyDescent="0.2">
      <c r="A37" s="38" t="s">
        <v>240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 ht="11.45" customHeight="1" x14ac:dyDescent="0.2">
      <c r="A38" s="38" t="s">
        <v>243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 ht="11.45" customHeight="1" x14ac:dyDescent="0.2">
      <c r="A39" s="61" t="s">
        <v>276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11.45" customHeight="1" x14ac:dyDescent="0.2">
      <c r="A40" s="38" t="s">
        <v>253</v>
      </c>
      <c r="E40" s="28">
        <f>F40+H40+J40+L40+N40</f>
        <v>82725</v>
      </c>
      <c r="F40" s="28">
        <v>0</v>
      </c>
      <c r="G40" s="28">
        <f>F40*100/$E23</f>
        <v>0</v>
      </c>
      <c r="H40" s="28">
        <f>H11</f>
        <v>11695</v>
      </c>
      <c r="I40" s="28">
        <f>H40*100/$E23</f>
        <v>5.471037883253338</v>
      </c>
      <c r="J40" s="28">
        <f>J23-J11</f>
        <v>71030</v>
      </c>
      <c r="K40" s="28">
        <f>J40*100/$E23</f>
        <v>33.228543894611768</v>
      </c>
      <c r="L40" s="28">
        <v>0</v>
      </c>
      <c r="M40" s="28">
        <f>L40*100/$E23</f>
        <v>0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E41" s="95" t="s">
        <v>275</v>
      </c>
      <c r="F41" s="83"/>
      <c r="G41" s="95" t="s">
        <v>260</v>
      </c>
      <c r="H41" s="83"/>
      <c r="I41" s="95" t="s">
        <v>273</v>
      </c>
      <c r="J41" s="83"/>
      <c r="K41" s="95" t="s">
        <v>274</v>
      </c>
      <c r="L41" s="28"/>
      <c r="M41" s="95" t="s">
        <v>260</v>
      </c>
      <c r="N41" s="28"/>
      <c r="O41" s="95" t="s">
        <v>260</v>
      </c>
    </row>
  </sheetData>
  <sheetProtection selectLockedCells="1" selectUnlockedCells="1"/>
  <pageMargins left="0.78740157480314965" right="0.78740157480314965" top="1.0629921259842521" bottom="1.0629921259842521" header="0.78740157480314965" footer="0.78740157480314965"/>
  <pageSetup firstPageNumber="0" orientation="portrait" horizontalDpi="300" verticalDpi="300" r:id="rId1"/>
  <headerFooter alignWithMargins="0">
    <oddHeader>&amp;C&amp;"Times New Roman,Regular"&amp;12&amp;A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50" zoomScaleNormal="150" workbookViewId="0">
      <pane ySplit="4" topLeftCell="A19" activePane="bottomLeft" state="frozen"/>
      <selection pane="bottomLeft" activeCell="E26" sqref="E26:E32"/>
    </sheetView>
  </sheetViews>
  <sheetFormatPr defaultColWidth="11.5703125" defaultRowHeight="11.45" customHeight="1" x14ac:dyDescent="0.2"/>
  <cols>
    <col min="1" max="1" width="5.5703125" customWidth="1"/>
    <col min="2" max="3" width="5.140625" customWidth="1"/>
    <col min="4" max="4" width="15.7109375" customWidth="1"/>
    <col min="5" max="5" width="8.7109375" customWidth="1"/>
    <col min="6" max="6" width="5.85546875" customWidth="1"/>
    <col min="7" max="8" width="5" customWidth="1"/>
    <col min="9" max="9" width="5.7109375" customWidth="1"/>
    <col min="10" max="15" width="5" customWidth="1"/>
  </cols>
  <sheetData>
    <row r="1" spans="1:15" ht="12.75" customHeight="1" x14ac:dyDescent="0.2">
      <c r="A1" t="s">
        <v>331</v>
      </c>
    </row>
    <row r="2" spans="1:15" ht="12.75" customHeight="1" x14ac:dyDescent="0.2">
      <c r="A2" s="35" t="s">
        <v>221</v>
      </c>
    </row>
    <row r="3" spans="1:15" ht="12.75" customHeight="1" x14ac:dyDescent="0.2">
      <c r="E3" s="35" t="s">
        <v>205</v>
      </c>
    </row>
    <row r="4" spans="1:15" ht="12.75" customHeight="1" x14ac:dyDescent="0.2">
      <c r="A4" s="36" t="s">
        <v>206</v>
      </c>
      <c r="B4" s="36" t="s">
        <v>207</v>
      </c>
      <c r="C4" s="36" t="s">
        <v>208</v>
      </c>
      <c r="D4" s="37" t="s">
        <v>209</v>
      </c>
      <c r="E4" s="6" t="s">
        <v>4</v>
      </c>
      <c r="F4" s="7" t="s">
        <v>5</v>
      </c>
      <c r="G4" s="7" t="s">
        <v>6</v>
      </c>
      <c r="H4" s="8" t="s">
        <v>7</v>
      </c>
      <c r="I4" s="8" t="s">
        <v>6</v>
      </c>
      <c r="J4" s="9" t="s">
        <v>8</v>
      </c>
      <c r="K4" s="9" t="s">
        <v>6</v>
      </c>
      <c r="L4" s="10" t="s">
        <v>9</v>
      </c>
      <c r="M4" s="10" t="s">
        <v>6</v>
      </c>
      <c r="N4" s="6" t="s">
        <v>10</v>
      </c>
      <c r="O4" s="6" t="s">
        <v>6</v>
      </c>
    </row>
    <row r="5" spans="1:15" ht="11.45" customHeight="1" x14ac:dyDescent="0.2">
      <c r="A5" s="1">
        <v>101</v>
      </c>
      <c r="B5" s="1"/>
      <c r="C5" s="1"/>
      <c r="D5" s="15" t="s">
        <v>115</v>
      </c>
      <c r="E5" s="1">
        <f>F5+H5+J5+L5+N5</f>
        <v>38832</v>
      </c>
      <c r="F5" s="1">
        <v>15005</v>
      </c>
      <c r="G5" s="1">
        <f t="shared" ref="G5:G13" si="0">F5*100/$E5</f>
        <v>38.64081170168933</v>
      </c>
      <c r="H5" s="1">
        <v>12760</v>
      </c>
      <c r="I5" s="1">
        <f t="shared" ref="I5:I13" si="1">H5*100/$E5</f>
        <v>32.859497321796454</v>
      </c>
      <c r="J5" s="1">
        <v>6621</v>
      </c>
      <c r="K5" s="1">
        <f t="shared" ref="K5:K13" si="2">J5*100/$E5</f>
        <v>17.050370828182942</v>
      </c>
      <c r="L5" s="1">
        <v>3147</v>
      </c>
      <c r="M5" s="1">
        <f t="shared" ref="M5:M13" si="3">L5*100/$E5</f>
        <v>8.104140914709518</v>
      </c>
      <c r="N5" s="1">
        <f>479+292+265+181+82</f>
        <v>1299</v>
      </c>
      <c r="O5" s="1">
        <f t="shared" ref="O5:O13" si="4">N5*100/$E5</f>
        <v>3.3451792336217552</v>
      </c>
    </row>
    <row r="6" spans="1:15" ht="11.45" customHeight="1" x14ac:dyDescent="0.2">
      <c r="A6" s="1">
        <v>84</v>
      </c>
      <c r="B6" s="1"/>
      <c r="C6" s="1"/>
      <c r="D6" s="15" t="s">
        <v>116</v>
      </c>
      <c r="E6" s="1">
        <f>F6+H6+J6+L6+N6</f>
        <v>29613</v>
      </c>
      <c r="F6" s="1">
        <v>13055</v>
      </c>
      <c r="G6" s="1">
        <f t="shared" si="0"/>
        <v>44.085367912741027</v>
      </c>
      <c r="H6" s="1">
        <v>7767</v>
      </c>
      <c r="I6" s="1">
        <f t="shared" si="1"/>
        <v>26.228345659001114</v>
      </c>
      <c r="J6" s="1">
        <v>6227</v>
      </c>
      <c r="K6" s="1">
        <f t="shared" si="2"/>
        <v>21.027926923986087</v>
      </c>
      <c r="L6" s="1">
        <v>2291</v>
      </c>
      <c r="M6" s="1">
        <f t="shared" si="3"/>
        <v>7.7364670921554719</v>
      </c>
      <c r="N6" s="1">
        <v>273</v>
      </c>
      <c r="O6" s="1">
        <f t="shared" si="4"/>
        <v>0.92189241211630024</v>
      </c>
    </row>
    <row r="7" spans="1:15" ht="11.45" customHeight="1" x14ac:dyDescent="0.2">
      <c r="A7" s="1"/>
      <c r="B7" s="1">
        <v>35</v>
      </c>
      <c r="C7" s="5" t="s">
        <v>5</v>
      </c>
      <c r="D7" s="15" t="s">
        <v>117</v>
      </c>
      <c r="E7" s="16">
        <f>E5+E6</f>
        <v>68445</v>
      </c>
      <c r="F7" s="16">
        <f>F5+F6</f>
        <v>28060</v>
      </c>
      <c r="G7" s="16">
        <f t="shared" si="0"/>
        <v>40.996420483599969</v>
      </c>
      <c r="H7" s="16">
        <f>H5+H6</f>
        <v>20527</v>
      </c>
      <c r="I7" s="16">
        <f t="shared" si="1"/>
        <v>29.990503323836656</v>
      </c>
      <c r="J7" s="16">
        <f>J5+J6</f>
        <v>12848</v>
      </c>
      <c r="K7" s="16">
        <f t="shared" si="2"/>
        <v>18.771276207173642</v>
      </c>
      <c r="L7" s="16">
        <f>L5+L6</f>
        <v>5438</v>
      </c>
      <c r="M7" s="16">
        <f t="shared" si="3"/>
        <v>7.9450653809628164</v>
      </c>
      <c r="N7" s="16">
        <f>N5+N6</f>
        <v>1572</v>
      </c>
      <c r="O7" s="16">
        <f t="shared" si="4"/>
        <v>2.2967346044269119</v>
      </c>
    </row>
    <row r="8" spans="1:15" ht="11.45" customHeight="1" x14ac:dyDescent="0.2">
      <c r="A8" s="1">
        <v>111</v>
      </c>
      <c r="B8" s="1"/>
      <c r="C8" s="1"/>
      <c r="D8" s="15" t="s">
        <v>118</v>
      </c>
      <c r="E8" s="1">
        <f>F8+H8+J8+L8+N8</f>
        <v>33942</v>
      </c>
      <c r="F8" s="1">
        <v>12375</v>
      </c>
      <c r="G8" s="1">
        <f t="shared" si="0"/>
        <v>36.459254021566203</v>
      </c>
      <c r="H8" s="1">
        <v>10495</v>
      </c>
      <c r="I8" s="1">
        <f t="shared" si="1"/>
        <v>30.920393612633315</v>
      </c>
      <c r="J8" s="1">
        <v>5672</v>
      </c>
      <c r="K8" s="1">
        <f t="shared" si="2"/>
        <v>16.710859701844324</v>
      </c>
      <c r="L8" s="1">
        <v>4393</v>
      </c>
      <c r="M8" s="1">
        <f t="shared" si="3"/>
        <v>12.942666902362854</v>
      </c>
      <c r="N8" s="1">
        <f>328+321+180+130+48</f>
        <v>1007</v>
      </c>
      <c r="O8" s="1">
        <f t="shared" si="4"/>
        <v>2.9668257615933062</v>
      </c>
    </row>
    <row r="9" spans="1:15" ht="11.45" customHeight="1" x14ac:dyDescent="0.2">
      <c r="A9" s="1">
        <v>93</v>
      </c>
      <c r="B9" s="1"/>
      <c r="C9" s="1"/>
      <c r="D9" s="15" t="s">
        <v>119</v>
      </c>
      <c r="E9" s="1">
        <f>F9+H9+J9+L9+N9</f>
        <v>41737</v>
      </c>
      <c r="F9" s="1">
        <v>17178</v>
      </c>
      <c r="G9" s="1">
        <f t="shared" si="0"/>
        <v>41.157725758918943</v>
      </c>
      <c r="H9" s="1">
        <v>11521</v>
      </c>
      <c r="I9" s="1">
        <f t="shared" si="1"/>
        <v>27.603804777535519</v>
      </c>
      <c r="J9" s="1">
        <v>9197</v>
      </c>
      <c r="K9" s="1">
        <f t="shared" si="2"/>
        <v>22.035603900615762</v>
      </c>
      <c r="L9" s="1">
        <v>2833</v>
      </c>
      <c r="M9" s="1">
        <f t="shared" si="3"/>
        <v>6.78774229101277</v>
      </c>
      <c r="N9" s="1">
        <f>563+236+209</f>
        <v>1008</v>
      </c>
      <c r="O9" s="1">
        <f t="shared" si="4"/>
        <v>2.4151232719170039</v>
      </c>
    </row>
    <row r="10" spans="1:15" ht="11.45" customHeight="1" x14ac:dyDescent="0.2">
      <c r="A10" s="1"/>
      <c r="B10" s="1">
        <v>36</v>
      </c>
      <c r="C10" s="5" t="s">
        <v>5</v>
      </c>
      <c r="D10" s="15" t="s">
        <v>120</v>
      </c>
      <c r="E10" s="16">
        <f>E8+E9</f>
        <v>75679</v>
      </c>
      <c r="F10" s="16">
        <f>F8+F9</f>
        <v>29553</v>
      </c>
      <c r="G10" s="16">
        <f t="shared" si="0"/>
        <v>39.050463140369189</v>
      </c>
      <c r="H10" s="16">
        <f>H8+H9</f>
        <v>22016</v>
      </c>
      <c r="I10" s="16">
        <f t="shared" si="1"/>
        <v>29.09129348960742</v>
      </c>
      <c r="J10" s="16">
        <f>J8+J9</f>
        <v>14869</v>
      </c>
      <c r="K10" s="16">
        <f t="shared" si="2"/>
        <v>19.647458343794185</v>
      </c>
      <c r="L10" s="16">
        <f>L8+L9</f>
        <v>7226</v>
      </c>
      <c r="M10" s="16">
        <f t="shared" si="3"/>
        <v>9.5482234173284528</v>
      </c>
      <c r="N10" s="16">
        <f>N8+N9</f>
        <v>2015</v>
      </c>
      <c r="O10" s="16">
        <f t="shared" si="4"/>
        <v>2.6625616089007518</v>
      </c>
    </row>
    <row r="11" spans="1:15" ht="11.45" customHeight="1" x14ac:dyDescent="0.2">
      <c r="A11" s="1">
        <v>18</v>
      </c>
      <c r="B11" s="1"/>
      <c r="C11" s="1"/>
      <c r="D11" s="15" t="s">
        <v>121</v>
      </c>
      <c r="E11" s="1">
        <f>F11+H11+J11+L11+N11</f>
        <v>40993</v>
      </c>
      <c r="F11" s="1">
        <v>18271</v>
      </c>
      <c r="G11" s="1">
        <f t="shared" si="0"/>
        <v>44.571024321225572</v>
      </c>
      <c r="H11" s="1">
        <v>8358</v>
      </c>
      <c r="I11" s="1">
        <f t="shared" si="1"/>
        <v>20.388846876295954</v>
      </c>
      <c r="J11" s="1">
        <v>11375</v>
      </c>
      <c r="K11" s="1">
        <f t="shared" si="2"/>
        <v>27.748640011709316</v>
      </c>
      <c r="L11" s="1">
        <v>2791</v>
      </c>
      <c r="M11" s="1">
        <f t="shared" si="3"/>
        <v>6.8084794964994027</v>
      </c>
      <c r="N11" s="1">
        <v>198</v>
      </c>
      <c r="O11" s="1">
        <f t="shared" si="4"/>
        <v>0.48300929426975336</v>
      </c>
    </row>
    <row r="12" spans="1:15" ht="11.45" customHeight="1" x14ac:dyDescent="0.2">
      <c r="A12" s="1">
        <v>40</v>
      </c>
      <c r="B12" s="1"/>
      <c r="C12" s="1"/>
      <c r="D12" s="20" t="s">
        <v>122</v>
      </c>
      <c r="E12" s="1">
        <f>F12+H12+J12+L12+N12</f>
        <v>34765</v>
      </c>
      <c r="F12" s="1">
        <v>6669</v>
      </c>
      <c r="G12" s="1">
        <f t="shared" si="0"/>
        <v>19.18308643750899</v>
      </c>
      <c r="H12" s="1">
        <v>7630</v>
      </c>
      <c r="I12" s="1">
        <f t="shared" si="1"/>
        <v>21.947360851431036</v>
      </c>
      <c r="J12" s="1">
        <v>18441</v>
      </c>
      <c r="K12" s="1">
        <f t="shared" si="2"/>
        <v>53.044728894002589</v>
      </c>
      <c r="L12" s="1">
        <v>1565</v>
      </c>
      <c r="M12" s="1">
        <f t="shared" si="3"/>
        <v>4.5016539623184233</v>
      </c>
      <c r="N12" s="1">
        <f>281+179</f>
        <v>460</v>
      </c>
      <c r="O12" s="1">
        <f t="shared" si="4"/>
        <v>1.3231698547389616</v>
      </c>
    </row>
    <row r="13" spans="1:15" ht="11.45" customHeight="1" x14ac:dyDescent="0.2">
      <c r="A13" s="29"/>
      <c r="B13" s="5">
        <v>37</v>
      </c>
      <c r="C13" s="5" t="s">
        <v>8</v>
      </c>
      <c r="D13" s="30" t="s">
        <v>123</v>
      </c>
      <c r="E13" s="12">
        <f>E11+E12</f>
        <v>75758</v>
      </c>
      <c r="F13" s="12">
        <f>F11+F12</f>
        <v>24940</v>
      </c>
      <c r="G13" s="12">
        <f t="shared" si="0"/>
        <v>32.920615644552392</v>
      </c>
      <c r="H13" s="12">
        <f>H11+H12</f>
        <v>15988</v>
      </c>
      <c r="I13" s="12">
        <f t="shared" si="1"/>
        <v>21.104041817365822</v>
      </c>
      <c r="J13" s="12">
        <f>J11+J12</f>
        <v>29816</v>
      </c>
      <c r="K13" s="12">
        <f t="shared" si="2"/>
        <v>39.35689960136223</v>
      </c>
      <c r="L13" s="12">
        <f>L11+L12</f>
        <v>4356</v>
      </c>
      <c r="M13" s="12">
        <f t="shared" si="3"/>
        <v>5.7498878006283167</v>
      </c>
      <c r="N13" s="12">
        <f>N11+N12</f>
        <v>658</v>
      </c>
      <c r="O13" s="12">
        <f t="shared" si="4"/>
        <v>0.86855513609123791</v>
      </c>
    </row>
    <row r="14" spans="1:15" ht="11.45" customHeight="1" x14ac:dyDescent="0.2">
      <c r="A14" s="1"/>
      <c r="B14" s="1"/>
      <c r="C14" s="1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11.45" customHeight="1" x14ac:dyDescent="0.2">
      <c r="A15" s="1"/>
      <c r="B15" s="1"/>
      <c r="C15" s="1"/>
      <c r="D15" s="20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1.45" customHeight="1" x14ac:dyDescent="0.2">
      <c r="A16" s="1"/>
      <c r="B16" s="1"/>
      <c r="C16" s="1"/>
      <c r="D16" s="20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20" spans="1:15" ht="11.45" customHeight="1" x14ac:dyDescent="0.2">
      <c r="E20" s="1">
        <f>E7+E10+E13+E16+E19</f>
        <v>219882</v>
      </c>
      <c r="F20" s="1">
        <f>F7+F10+F13+F16+F19</f>
        <v>82553</v>
      </c>
      <c r="G20" s="1">
        <f>F20*100/$E20</f>
        <v>37.544228267889139</v>
      </c>
      <c r="H20" s="1">
        <f>H7+H10+H13+H16+H19</f>
        <v>58531</v>
      </c>
      <c r="I20" s="1">
        <f>H20*100/$E20</f>
        <v>26.619277612537633</v>
      </c>
      <c r="J20" s="1">
        <f>J7+J10+J13+J16+J19</f>
        <v>57533</v>
      </c>
      <c r="K20" s="1">
        <f>J20*100/$E20</f>
        <v>26.165397804276839</v>
      </c>
      <c r="L20" s="1">
        <f>L7+L10+L13+L16+L19</f>
        <v>17020</v>
      </c>
      <c r="M20" s="1">
        <f>L20*100/$E20</f>
        <v>7.740515367333388</v>
      </c>
      <c r="N20" s="1">
        <f>N7+N10+N13+N16+N19</f>
        <v>4245</v>
      </c>
      <c r="O20" s="1">
        <f>N20*100/$E20</f>
        <v>1.9305809479629983</v>
      </c>
    </row>
    <row r="21" spans="1:15" ht="11.45" customHeight="1" x14ac:dyDescent="0.2">
      <c r="A21" s="39" t="s">
        <v>210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11.45" customHeight="1" x14ac:dyDescent="0.2">
      <c r="A22" s="55" t="s">
        <v>231</v>
      </c>
      <c r="B22" s="39"/>
      <c r="C22" s="39"/>
      <c r="D22" s="39"/>
      <c r="E22" s="51">
        <v>6</v>
      </c>
      <c r="F22" s="51">
        <v>5</v>
      </c>
      <c r="G22" s="39"/>
      <c r="H22" s="38">
        <v>0</v>
      </c>
      <c r="I22" s="38"/>
      <c r="J22" s="38">
        <v>1</v>
      </c>
      <c r="K22" s="38"/>
      <c r="L22" s="38">
        <v>0</v>
      </c>
      <c r="M22" s="39"/>
      <c r="N22" s="39"/>
      <c r="O22" s="39"/>
    </row>
    <row r="23" spans="1:15" ht="11.45" customHeight="1" x14ac:dyDescent="0.2">
      <c r="A23" s="55" t="s">
        <v>232</v>
      </c>
      <c r="B23" s="39"/>
      <c r="C23" s="39"/>
      <c r="D23" s="39"/>
      <c r="E23" s="1">
        <f>E7+E10+E13+E16+E19</f>
        <v>219882</v>
      </c>
      <c r="F23" s="1">
        <f>F7+F10+F13+F16+F19</f>
        <v>82553</v>
      </c>
      <c r="G23" s="1">
        <f>F23*100/$E23</f>
        <v>37.544228267889139</v>
      </c>
      <c r="H23" s="1">
        <f>H7+H10+H13+H16+H19</f>
        <v>58531</v>
      </c>
      <c r="I23" s="1">
        <f>H23*100/$E23</f>
        <v>26.619277612537633</v>
      </c>
      <c r="J23" s="1">
        <f>J7+J10+J13+J16+J19</f>
        <v>57533</v>
      </c>
      <c r="K23" s="1">
        <f>J23*100/$E23</f>
        <v>26.165397804276839</v>
      </c>
      <c r="L23" s="1">
        <f>L7+L10+L13+L16+L19</f>
        <v>17020</v>
      </c>
      <c r="M23" s="1">
        <f>L23*100/$E23</f>
        <v>7.740515367333388</v>
      </c>
      <c r="N23" s="1">
        <f>N7+N10+N13+N16+N19</f>
        <v>4245</v>
      </c>
      <c r="O23" s="1">
        <f>N23*100/$E23</f>
        <v>1.9305809479629983</v>
      </c>
    </row>
    <row r="24" spans="1:15" s="28" customFormat="1" ht="11.45" customHeight="1" x14ac:dyDescent="0.2">
      <c r="A24" s="55"/>
      <c r="B24" s="39"/>
      <c r="C24" s="39"/>
      <c r="D24" s="3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11.45" customHeight="1" x14ac:dyDescent="0.2">
      <c r="A25" s="55" t="s">
        <v>241</v>
      </c>
      <c r="B25" s="39"/>
      <c r="C25" s="39"/>
      <c r="D25" s="3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1.45" customHeight="1" x14ac:dyDescent="0.2">
      <c r="A26" s="38" t="s">
        <v>233</v>
      </c>
      <c r="B26" s="39"/>
      <c r="C26" s="39"/>
      <c r="D26" s="39"/>
      <c r="E26" s="38">
        <f>F26+H26+J26+L26+N26</f>
        <v>3</v>
      </c>
      <c r="F26" s="38">
        <v>2</v>
      </c>
      <c r="G26" s="39"/>
      <c r="H26" s="38">
        <v>0</v>
      </c>
      <c r="I26" s="39"/>
      <c r="J26" s="38">
        <v>1</v>
      </c>
      <c r="K26" s="39"/>
      <c r="L26" s="38">
        <v>0</v>
      </c>
      <c r="M26" s="39"/>
      <c r="N26" s="38">
        <v>0</v>
      </c>
      <c r="O26" s="39"/>
    </row>
    <row r="27" spans="1:15" ht="11.45" customHeight="1" x14ac:dyDescent="0.2">
      <c r="A27" s="38" t="s">
        <v>234</v>
      </c>
      <c r="B27" s="39"/>
      <c r="C27" s="39"/>
      <c r="D27" s="39"/>
      <c r="E27" s="38">
        <f>F27+H27+J27+L27+N27</f>
        <v>1</v>
      </c>
      <c r="F27" s="38"/>
      <c r="G27" s="39"/>
      <c r="H27" s="38">
        <v>1</v>
      </c>
      <c r="I27" s="39"/>
      <c r="J27" s="38"/>
      <c r="K27" s="39"/>
      <c r="L27" s="39"/>
      <c r="M27" s="39"/>
      <c r="N27" s="39"/>
      <c r="O27" s="39"/>
    </row>
    <row r="28" spans="1:15" ht="11.45" customHeight="1" x14ac:dyDescent="0.2">
      <c r="A28" s="38" t="s">
        <v>246</v>
      </c>
      <c r="B28" s="39"/>
      <c r="C28" s="39"/>
      <c r="D28" s="39"/>
      <c r="E28" s="38"/>
      <c r="F28" s="38"/>
      <c r="G28" s="39"/>
      <c r="H28" s="38"/>
      <c r="I28" s="39"/>
      <c r="J28" s="38"/>
      <c r="K28" s="39"/>
      <c r="L28" s="39"/>
      <c r="M28" s="39"/>
      <c r="N28" s="39"/>
      <c r="O28" s="39"/>
    </row>
    <row r="29" spans="1:15" ht="11.45" customHeight="1" x14ac:dyDescent="0.2">
      <c r="A29" s="38" t="s">
        <v>237</v>
      </c>
      <c r="B29" s="38"/>
      <c r="C29" s="38"/>
      <c r="D29" s="38"/>
      <c r="E29" s="38"/>
      <c r="F29" s="38"/>
      <c r="G29" s="38">
        <f>2*16.67</f>
        <v>33.340000000000003</v>
      </c>
      <c r="H29" s="38"/>
      <c r="I29" s="38">
        <f>1*16.67</f>
        <v>16.670000000000002</v>
      </c>
      <c r="J29" s="38"/>
      <c r="K29" s="38">
        <f>1*16.67</f>
        <v>16.670000000000002</v>
      </c>
      <c r="L29" s="38"/>
      <c r="M29" s="38"/>
      <c r="N29" s="38"/>
      <c r="O29" s="38"/>
    </row>
    <row r="30" spans="1:15" ht="11.45" customHeight="1" x14ac:dyDescent="0.2">
      <c r="A30" s="38" t="s">
        <v>255</v>
      </c>
      <c r="B30" s="39"/>
      <c r="C30" s="39"/>
      <c r="D30" s="39"/>
      <c r="E30" s="38"/>
      <c r="F30" s="38"/>
      <c r="G30" s="38">
        <f>G23-G29</f>
        <v>4.2042282678891354</v>
      </c>
      <c r="H30" s="38"/>
      <c r="I30" s="38">
        <f>I23-I29</f>
        <v>9.9492776125376317</v>
      </c>
      <c r="J30" s="38"/>
      <c r="K30" s="38">
        <f>K23-K29</f>
        <v>9.4953978042768377</v>
      </c>
      <c r="L30" s="39"/>
      <c r="M30" s="38">
        <f>M23-M29</f>
        <v>7.740515367333388</v>
      </c>
      <c r="N30" s="38"/>
      <c r="O30" s="38">
        <f>O23-O29</f>
        <v>1.9305809479629983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2</v>
      </c>
      <c r="F31" s="53"/>
      <c r="G31" s="53"/>
      <c r="H31" s="53">
        <v>1</v>
      </c>
      <c r="I31" s="53"/>
      <c r="J31" s="53">
        <v>1</v>
      </c>
      <c r="K31" s="52"/>
      <c r="L31" s="53"/>
      <c r="M31" s="52"/>
      <c r="N31" s="52"/>
      <c r="O31" s="52"/>
    </row>
    <row r="32" spans="1:15" ht="11.45" customHeight="1" x14ac:dyDescent="0.2">
      <c r="A32" s="38" t="s">
        <v>239</v>
      </c>
      <c r="B32" s="39"/>
      <c r="C32" s="39"/>
      <c r="D32" s="39"/>
      <c r="E32" s="54">
        <f>E26+E27+E31</f>
        <v>6</v>
      </c>
      <c r="F32" s="38">
        <f>F26+F27+F31</f>
        <v>2</v>
      </c>
      <c r="G32" s="38">
        <f t="shared" ref="G32:O32" si="5">G26+G27+G31</f>
        <v>0</v>
      </c>
      <c r="H32" s="38">
        <f t="shared" si="5"/>
        <v>2</v>
      </c>
      <c r="I32" s="38">
        <f t="shared" si="5"/>
        <v>0</v>
      </c>
      <c r="J32" s="38">
        <f t="shared" si="5"/>
        <v>2</v>
      </c>
      <c r="K32" s="38">
        <f t="shared" si="5"/>
        <v>0</v>
      </c>
      <c r="L32" s="38">
        <f t="shared" si="5"/>
        <v>0</v>
      </c>
      <c r="M32" s="38">
        <f t="shared" si="5"/>
        <v>0</v>
      </c>
      <c r="N32" s="38">
        <f t="shared" si="5"/>
        <v>0</v>
      </c>
      <c r="O32" s="38">
        <f t="shared" si="5"/>
        <v>0</v>
      </c>
    </row>
    <row r="33" spans="1:15" ht="11.45" customHeight="1" x14ac:dyDescent="0.2">
      <c r="A33" s="38" t="s">
        <v>245</v>
      </c>
      <c r="B33" s="39"/>
      <c r="C33" s="39"/>
      <c r="D33" s="39"/>
      <c r="E33" s="56">
        <f>G33+I33+K33+M33</f>
        <v>86.129277612537635</v>
      </c>
      <c r="F33" s="38"/>
      <c r="G33" s="38">
        <v>33.340000000000003</v>
      </c>
      <c r="H33" s="38"/>
      <c r="I33" s="38">
        <f>I29+I30</f>
        <v>26.619277612537633</v>
      </c>
      <c r="J33" s="38"/>
      <c r="K33" s="38">
        <v>26.17</v>
      </c>
      <c r="L33" s="38"/>
      <c r="M33" s="38">
        <v>0</v>
      </c>
      <c r="N33" s="38"/>
      <c r="O33" s="38">
        <v>0</v>
      </c>
    </row>
    <row r="34" spans="1:15" ht="11.45" customHeight="1" x14ac:dyDescent="0.2">
      <c r="A34" s="38" t="s">
        <v>314</v>
      </c>
      <c r="E34" s="54">
        <f>F34+H34+J34+L34</f>
        <v>189382.7782</v>
      </c>
      <c r="F34" s="38">
        <f>G33*$E23/100</f>
        <v>73308.658800000005</v>
      </c>
      <c r="G34" s="38"/>
      <c r="H34" s="38">
        <f>I33*$E23/100</f>
        <v>58531</v>
      </c>
      <c r="I34" s="38"/>
      <c r="J34" s="38">
        <f>K33*$E23/100</f>
        <v>57543.119400000003</v>
      </c>
      <c r="K34" s="38"/>
      <c r="L34" s="38">
        <f>M33*$E23/100</f>
        <v>0</v>
      </c>
      <c r="M34" s="38"/>
      <c r="N34" s="38">
        <f>O33*$E23/100</f>
        <v>0</v>
      </c>
      <c r="O34" s="38"/>
    </row>
    <row r="35" spans="1:15" ht="11.45" customHeight="1" x14ac:dyDescent="0.2">
      <c r="A35" s="79" t="s">
        <v>313</v>
      </c>
      <c r="B35" s="80"/>
      <c r="C35" s="80"/>
      <c r="D35" s="80"/>
      <c r="E35" s="67" t="s">
        <v>263</v>
      </c>
      <c r="F35" s="63"/>
      <c r="G35" s="67" t="s">
        <v>264</v>
      </c>
      <c r="H35" s="63"/>
      <c r="I35" s="67" t="s">
        <v>265</v>
      </c>
      <c r="J35" s="63"/>
      <c r="K35" s="67" t="s">
        <v>266</v>
      </c>
      <c r="L35" s="63"/>
      <c r="M35" s="63"/>
      <c r="N35" s="63"/>
      <c r="O35" s="63"/>
    </row>
    <row r="36" spans="1:15" ht="11.45" customHeight="1" x14ac:dyDescent="0.2">
      <c r="A36" s="81" t="s">
        <v>312</v>
      </c>
      <c r="B36" s="82"/>
      <c r="C36" s="82"/>
      <c r="D36" s="82"/>
      <c r="E36" s="57" t="s">
        <v>270</v>
      </c>
      <c r="F36" s="38"/>
      <c r="G36" s="57" t="s">
        <v>271</v>
      </c>
      <c r="H36" s="38"/>
      <c r="I36" s="58">
        <v>0</v>
      </c>
      <c r="J36" s="38"/>
      <c r="K36" s="57" t="s">
        <v>272</v>
      </c>
      <c r="L36" s="38"/>
      <c r="M36" s="62" t="s">
        <v>260</v>
      </c>
      <c r="N36" s="62"/>
      <c r="O36" s="62" t="s">
        <v>260</v>
      </c>
    </row>
    <row r="37" spans="1:15" ht="11.45" customHeight="1" x14ac:dyDescent="0.2">
      <c r="A37" s="38" t="s">
        <v>240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 ht="11.45" customHeight="1" x14ac:dyDescent="0.2">
      <c r="A38" s="38" t="s">
        <v>252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 ht="11.45" customHeight="1" x14ac:dyDescent="0.2">
      <c r="A39" s="61" t="s">
        <v>276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11.45" customHeight="1" x14ac:dyDescent="0.2">
      <c r="A40" s="38" t="s">
        <v>253</v>
      </c>
      <c r="E40" s="28">
        <f>F40+H40+J40+L40+N40</f>
        <v>94325</v>
      </c>
      <c r="F40" s="28">
        <f>F23-F12</f>
        <v>75884</v>
      </c>
      <c r="G40" s="28">
        <f>F40*100/$E23</f>
        <v>34.511237845753634</v>
      </c>
      <c r="H40" s="28">
        <v>0</v>
      </c>
      <c r="I40" s="28">
        <f>H40*100/$E23</f>
        <v>0</v>
      </c>
      <c r="J40" s="28">
        <f>J12</f>
        <v>18441</v>
      </c>
      <c r="K40" s="28">
        <f>J40*100/$E23</f>
        <v>8.3867710863099294</v>
      </c>
      <c r="L40" s="28">
        <v>0</v>
      </c>
      <c r="M40" s="28">
        <f>L40*100/$E23</f>
        <v>0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E41" s="95" t="s">
        <v>270</v>
      </c>
      <c r="F41" s="83"/>
      <c r="G41" s="95" t="s">
        <v>271</v>
      </c>
      <c r="H41" s="83"/>
      <c r="I41" s="95" t="s">
        <v>260</v>
      </c>
      <c r="J41" s="83"/>
      <c r="K41" s="57" t="s">
        <v>272</v>
      </c>
      <c r="L41" s="28"/>
      <c r="M41" s="95" t="s">
        <v>260</v>
      </c>
      <c r="N41" s="28"/>
      <c r="O41" s="95" t="s">
        <v>260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50" zoomScaleNormal="150" workbookViewId="0">
      <pane ySplit="4" topLeftCell="A16" activePane="bottomLeft" state="frozen"/>
      <selection pane="bottomLeft" activeCell="F28" sqref="F28"/>
    </sheetView>
  </sheetViews>
  <sheetFormatPr defaultColWidth="11.5703125" defaultRowHeight="11.45" customHeight="1" x14ac:dyDescent="0.2"/>
  <cols>
    <col min="1" max="1" width="5.5703125" customWidth="1"/>
    <col min="2" max="3" width="5.140625" customWidth="1"/>
    <col min="4" max="4" width="16.5703125" customWidth="1"/>
    <col min="5" max="5" width="6" customWidth="1"/>
    <col min="6" max="8" width="5" customWidth="1"/>
    <col min="9" max="9" width="5.7109375" customWidth="1"/>
    <col min="10" max="15" width="5" customWidth="1"/>
  </cols>
  <sheetData>
    <row r="1" spans="1:15" ht="12.75" customHeight="1" x14ac:dyDescent="0.2">
      <c r="A1" t="s">
        <v>331</v>
      </c>
    </row>
    <row r="2" spans="1:15" ht="12.75" customHeight="1" x14ac:dyDescent="0.2">
      <c r="A2" s="35" t="s">
        <v>222</v>
      </c>
    </row>
    <row r="3" spans="1:15" ht="12.75" customHeight="1" x14ac:dyDescent="0.2">
      <c r="E3" s="35" t="s">
        <v>205</v>
      </c>
    </row>
    <row r="4" spans="1:15" ht="12.75" customHeight="1" x14ac:dyDescent="0.2">
      <c r="A4" s="36" t="s">
        <v>206</v>
      </c>
      <c r="B4" s="36" t="s">
        <v>207</v>
      </c>
      <c r="C4" s="36" t="s">
        <v>208</v>
      </c>
      <c r="D4" s="37" t="s">
        <v>209</v>
      </c>
      <c r="E4" s="6" t="s">
        <v>4</v>
      </c>
      <c r="F4" s="7" t="s">
        <v>5</v>
      </c>
      <c r="G4" s="7" t="s">
        <v>6</v>
      </c>
      <c r="H4" s="8" t="s">
        <v>7</v>
      </c>
      <c r="I4" s="8" t="s">
        <v>6</v>
      </c>
      <c r="J4" s="9" t="s">
        <v>8</v>
      </c>
      <c r="K4" s="9" t="s">
        <v>6</v>
      </c>
      <c r="L4" s="10" t="s">
        <v>9</v>
      </c>
      <c r="M4" s="10" t="s">
        <v>6</v>
      </c>
      <c r="N4" s="6" t="s">
        <v>10</v>
      </c>
      <c r="O4" s="6" t="s">
        <v>6</v>
      </c>
    </row>
    <row r="5" spans="1:15" ht="11.45" customHeight="1" x14ac:dyDescent="0.2">
      <c r="A5" s="1">
        <v>15</v>
      </c>
      <c r="B5" s="1"/>
      <c r="C5" s="1"/>
      <c r="D5" s="20" t="s">
        <v>124</v>
      </c>
      <c r="E5" s="1">
        <f>F5+H5+J5+L5+N5</f>
        <v>42792</v>
      </c>
      <c r="F5" s="16">
        <v>9944</v>
      </c>
      <c r="G5" s="1">
        <f t="shared" ref="G5:G13" si="0">F5*100/$E5</f>
        <v>23.23798840904842</v>
      </c>
      <c r="H5" s="16">
        <v>14232</v>
      </c>
      <c r="I5" s="1">
        <f t="shared" ref="I5:I13" si="1">H5*100/$E5</f>
        <v>33.258553000560852</v>
      </c>
      <c r="J5" s="16">
        <v>14331</v>
      </c>
      <c r="K5" s="1">
        <f t="shared" ref="K5:K13" si="2">J5*100/$E5</f>
        <v>33.489904655075712</v>
      </c>
      <c r="L5" s="16">
        <v>3688</v>
      </c>
      <c r="M5" s="1">
        <f t="shared" ref="M5:M13" si="3">L5*100/$E5</f>
        <v>8.6184333520284166</v>
      </c>
      <c r="N5" s="16">
        <f>246+225+126</f>
        <v>597</v>
      </c>
      <c r="O5" s="1">
        <f t="shared" ref="O5:O10" si="4">N5*100/$E5</f>
        <v>1.3951205832865956</v>
      </c>
    </row>
    <row r="6" spans="1:15" ht="11.45" customHeight="1" x14ac:dyDescent="0.2">
      <c r="A6" s="1">
        <v>121</v>
      </c>
      <c r="B6" s="1"/>
      <c r="C6" s="1"/>
      <c r="D6" s="17" t="s">
        <v>125</v>
      </c>
      <c r="E6" s="1">
        <f>F6+H6+J6+L6+N6</f>
        <v>43363</v>
      </c>
      <c r="F6" s="1">
        <v>8212</v>
      </c>
      <c r="G6" s="1">
        <f t="shared" si="0"/>
        <v>18.937804118718724</v>
      </c>
      <c r="H6" s="1">
        <v>18467</v>
      </c>
      <c r="I6" s="1">
        <f t="shared" si="1"/>
        <v>42.586998132048059</v>
      </c>
      <c r="J6" s="1">
        <v>13160</v>
      </c>
      <c r="K6" s="1">
        <f t="shared" si="2"/>
        <v>30.348453750893619</v>
      </c>
      <c r="L6" s="1">
        <v>3074</v>
      </c>
      <c r="M6" s="1">
        <f t="shared" si="3"/>
        <v>7.0889929202315338</v>
      </c>
      <c r="N6" s="1">
        <v>450</v>
      </c>
      <c r="O6" s="1">
        <f t="shared" si="4"/>
        <v>1.0377510781080646</v>
      </c>
    </row>
    <row r="7" spans="1:15" ht="11.45" customHeight="1" x14ac:dyDescent="0.2">
      <c r="A7" s="1"/>
      <c r="B7" s="1">
        <v>38</v>
      </c>
      <c r="C7" s="1" t="s">
        <v>7</v>
      </c>
      <c r="D7" s="17" t="s">
        <v>126</v>
      </c>
      <c r="E7" s="16">
        <f>E5+E6</f>
        <v>86155</v>
      </c>
      <c r="F7" s="16">
        <f>F5+F6</f>
        <v>18156</v>
      </c>
      <c r="G7" s="16">
        <f t="shared" si="0"/>
        <v>21.073646335093727</v>
      </c>
      <c r="H7" s="16">
        <f>H5+H6</f>
        <v>32699</v>
      </c>
      <c r="I7" s="16">
        <f t="shared" si="1"/>
        <v>37.953688120248387</v>
      </c>
      <c r="J7" s="16">
        <f>J5+J6</f>
        <v>27491</v>
      </c>
      <c r="K7" s="16">
        <f t="shared" si="2"/>
        <v>31.90876907898555</v>
      </c>
      <c r="L7" s="16">
        <f>L5+L6</f>
        <v>6762</v>
      </c>
      <c r="M7" s="16">
        <f t="shared" si="3"/>
        <v>7.8486448842203007</v>
      </c>
      <c r="N7" s="16">
        <f>N5+N6</f>
        <v>1047</v>
      </c>
      <c r="O7" s="16">
        <f t="shared" si="4"/>
        <v>1.2152515814520342</v>
      </c>
    </row>
    <row r="8" spans="1:15" ht="11.45" customHeight="1" x14ac:dyDescent="0.2">
      <c r="A8" s="1">
        <v>78</v>
      </c>
      <c r="B8" s="1"/>
      <c r="D8" s="20" t="s">
        <v>127</v>
      </c>
      <c r="E8" s="1">
        <f>F8+H8+J8+L8+N8</f>
        <v>42791</v>
      </c>
      <c r="F8" s="1">
        <v>13392</v>
      </c>
      <c r="G8" s="1">
        <f t="shared" si="0"/>
        <v>31.296300623962981</v>
      </c>
      <c r="H8" s="1">
        <v>11265</v>
      </c>
      <c r="I8" s="1">
        <f t="shared" si="1"/>
        <v>26.325629221097895</v>
      </c>
      <c r="J8" s="1">
        <v>14988</v>
      </c>
      <c r="K8" s="1">
        <f t="shared" si="2"/>
        <v>35.026056881119864</v>
      </c>
      <c r="L8" s="1">
        <v>2845</v>
      </c>
      <c r="M8" s="1">
        <f t="shared" si="3"/>
        <v>6.648594330583534</v>
      </c>
      <c r="N8" s="1">
        <v>301</v>
      </c>
      <c r="O8" s="1">
        <f t="shared" si="4"/>
        <v>0.70341894323572718</v>
      </c>
    </row>
    <row r="9" spans="1:15" ht="11.45" customHeight="1" x14ac:dyDescent="0.2">
      <c r="A9" s="1">
        <v>118</v>
      </c>
      <c r="B9" s="1"/>
      <c r="C9" s="1"/>
      <c r="D9" s="17" t="s">
        <v>128</v>
      </c>
      <c r="E9" s="1">
        <f>F9+H9+J9+L9+N9</f>
        <v>34258</v>
      </c>
      <c r="F9" s="1">
        <v>11809</v>
      </c>
      <c r="G9" s="1">
        <f t="shared" si="0"/>
        <v>34.470780547609316</v>
      </c>
      <c r="H9" s="1">
        <v>11983</v>
      </c>
      <c r="I9" s="1">
        <f t="shared" si="1"/>
        <v>34.978691108646153</v>
      </c>
      <c r="J9" s="1">
        <v>9164</v>
      </c>
      <c r="K9" s="1">
        <f t="shared" si="2"/>
        <v>26.749956214606808</v>
      </c>
      <c r="L9" s="1">
        <f>371+280</f>
        <v>651</v>
      </c>
      <c r="M9" s="1">
        <f t="shared" si="3"/>
        <v>1.9002860645688597</v>
      </c>
      <c r="N9" s="1">
        <f>371+280</f>
        <v>651</v>
      </c>
      <c r="O9" s="1">
        <f t="shared" si="4"/>
        <v>1.9002860645688597</v>
      </c>
    </row>
    <row r="10" spans="1:15" ht="11.45" customHeight="1" x14ac:dyDescent="0.2">
      <c r="A10" s="1"/>
      <c r="B10" s="1">
        <v>39</v>
      </c>
      <c r="C10" s="5" t="s">
        <v>5</v>
      </c>
      <c r="D10" s="15" t="s">
        <v>129</v>
      </c>
      <c r="E10" s="16">
        <f>E8+E9</f>
        <v>77049</v>
      </c>
      <c r="F10" s="16">
        <f>F8+F9</f>
        <v>25201</v>
      </c>
      <c r="G10" s="16">
        <f t="shared" si="0"/>
        <v>32.707757401134344</v>
      </c>
      <c r="H10" s="16">
        <f>H8+H9</f>
        <v>23248</v>
      </c>
      <c r="I10" s="16">
        <f t="shared" si="1"/>
        <v>30.173006787888227</v>
      </c>
      <c r="J10" s="16">
        <f>J8+J9</f>
        <v>24152</v>
      </c>
      <c r="K10" s="16">
        <f t="shared" si="2"/>
        <v>31.346286129605836</v>
      </c>
      <c r="L10" s="16">
        <f>L8+L9</f>
        <v>3496</v>
      </c>
      <c r="M10" s="16">
        <f t="shared" si="3"/>
        <v>4.5373723215096886</v>
      </c>
      <c r="N10" s="16">
        <f>N8+N9</f>
        <v>952</v>
      </c>
      <c r="O10" s="16">
        <f t="shared" si="4"/>
        <v>1.235577359861906</v>
      </c>
    </row>
    <row r="11" spans="1:15" ht="11.45" customHeight="1" x14ac:dyDescent="0.2">
      <c r="A11" s="1">
        <v>113</v>
      </c>
      <c r="B11" s="1"/>
      <c r="C11" s="1"/>
      <c r="D11" s="17" t="s">
        <v>130</v>
      </c>
      <c r="E11" s="1">
        <f>F11+H11+J11+L11+N11</f>
        <v>35991</v>
      </c>
      <c r="F11" s="1">
        <v>10776</v>
      </c>
      <c r="G11" s="1">
        <f t="shared" si="0"/>
        <v>29.940818537967825</v>
      </c>
      <c r="H11" s="1">
        <v>12146</v>
      </c>
      <c r="I11" s="1">
        <f t="shared" si="1"/>
        <v>33.747325720318969</v>
      </c>
      <c r="J11" s="1">
        <v>8704</v>
      </c>
      <c r="K11" s="1">
        <f t="shared" si="2"/>
        <v>24.183823733711204</v>
      </c>
      <c r="L11" s="1">
        <v>3996</v>
      </c>
      <c r="M11" s="1">
        <f t="shared" si="3"/>
        <v>11.102775693923482</v>
      </c>
      <c r="N11" s="1">
        <v>369</v>
      </c>
      <c r="O11" s="1">
        <f>N9*100/$E11</f>
        <v>1.8087855297157622</v>
      </c>
    </row>
    <row r="12" spans="1:15" ht="11.45" customHeight="1" x14ac:dyDescent="0.2">
      <c r="A12" s="1">
        <v>69</v>
      </c>
      <c r="B12" s="1"/>
      <c r="C12" s="1"/>
      <c r="D12" s="17" t="s">
        <v>131</v>
      </c>
      <c r="E12" s="1">
        <f>F12+H12+J12+L12+N12</f>
        <v>30422</v>
      </c>
      <c r="F12" s="1">
        <v>7921</v>
      </c>
      <c r="G12" s="1">
        <f t="shared" si="0"/>
        <v>26.037078430083493</v>
      </c>
      <c r="H12" s="1">
        <v>11612</v>
      </c>
      <c r="I12" s="1">
        <f t="shared" si="1"/>
        <v>38.169745578857409</v>
      </c>
      <c r="J12" s="1">
        <v>6269</v>
      </c>
      <c r="K12" s="1">
        <f t="shared" si="2"/>
        <v>20.606797712181972</v>
      </c>
      <c r="L12" s="1">
        <v>3518</v>
      </c>
      <c r="M12" s="1">
        <f t="shared" si="3"/>
        <v>11.563999737032411</v>
      </c>
      <c r="N12" s="1">
        <f>707+244+107+44</f>
        <v>1102</v>
      </c>
      <c r="O12" s="1">
        <f>N12*100/$E12</f>
        <v>3.6223785418447179</v>
      </c>
    </row>
    <row r="13" spans="1:15" ht="11.45" customHeight="1" x14ac:dyDescent="0.2">
      <c r="A13" s="5"/>
      <c r="B13" s="5">
        <v>40</v>
      </c>
      <c r="C13" s="5" t="s">
        <v>7</v>
      </c>
      <c r="D13" s="19" t="s">
        <v>132</v>
      </c>
      <c r="E13" s="12">
        <f>E11+E12</f>
        <v>66413</v>
      </c>
      <c r="F13" s="12">
        <f>F11+F12</f>
        <v>18697</v>
      </c>
      <c r="G13" s="12">
        <f t="shared" si="0"/>
        <v>28.152620721846628</v>
      </c>
      <c r="H13" s="12">
        <f>H11+H12</f>
        <v>23758</v>
      </c>
      <c r="I13" s="12">
        <f t="shared" si="1"/>
        <v>35.773116709078039</v>
      </c>
      <c r="J13" s="12">
        <f>J11+J12</f>
        <v>14973</v>
      </c>
      <c r="K13" s="12">
        <f t="shared" si="2"/>
        <v>22.545284808697094</v>
      </c>
      <c r="L13" s="12">
        <f>L11+L12</f>
        <v>7514</v>
      </c>
      <c r="M13" s="12">
        <f t="shared" si="3"/>
        <v>11.314049960098174</v>
      </c>
      <c r="N13" s="12">
        <f>N11+N12</f>
        <v>1471</v>
      </c>
      <c r="O13" s="12">
        <f>N13*100/$E13</f>
        <v>2.2149278002800656</v>
      </c>
    </row>
    <row r="14" spans="1:15" ht="11.45" customHeight="1" x14ac:dyDescent="0.2">
      <c r="A14" s="1"/>
      <c r="B14" s="1"/>
      <c r="C14" s="1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11.45" customHeight="1" x14ac:dyDescent="0.2">
      <c r="A15" s="1"/>
      <c r="B15" s="1"/>
      <c r="C15" s="1"/>
      <c r="D15" s="20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1.45" customHeight="1" x14ac:dyDescent="0.2">
      <c r="A16" s="1"/>
      <c r="B16" s="1"/>
      <c r="C16" s="1"/>
      <c r="D16" s="20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21" spans="1:15" ht="11.45" customHeight="1" x14ac:dyDescent="0.2">
      <c r="A21" s="39" t="s">
        <v>210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11.45" customHeight="1" x14ac:dyDescent="0.2">
      <c r="A22" s="55" t="s">
        <v>231</v>
      </c>
      <c r="B22" s="39"/>
      <c r="C22" s="39"/>
      <c r="D22" s="39"/>
      <c r="E22" s="51">
        <v>6</v>
      </c>
      <c r="F22" s="51">
        <v>0</v>
      </c>
      <c r="G22" s="39"/>
      <c r="H22" s="38">
        <v>4</v>
      </c>
      <c r="I22" s="38"/>
      <c r="J22" s="38">
        <v>2</v>
      </c>
      <c r="K22" s="38"/>
      <c r="L22" s="38">
        <v>0</v>
      </c>
      <c r="M22" s="39"/>
      <c r="N22" s="39"/>
      <c r="O22" s="39"/>
    </row>
    <row r="23" spans="1:15" ht="11.45" customHeight="1" x14ac:dyDescent="0.2">
      <c r="A23" s="55" t="s">
        <v>232</v>
      </c>
      <c r="B23" s="39"/>
      <c r="C23" s="39"/>
      <c r="D23" s="39"/>
      <c r="E23" s="1">
        <f>E7+E10+E13+E16+E19</f>
        <v>229617</v>
      </c>
      <c r="F23" s="1">
        <f>F7+F10+F13+F16+F19</f>
        <v>62054</v>
      </c>
      <c r="G23" s="1">
        <f>F23*100/$E23</f>
        <v>27.025002504169986</v>
      </c>
      <c r="H23" s="1">
        <f>H7+H10+H13+H16+H19</f>
        <v>79705</v>
      </c>
      <c r="I23" s="1">
        <f>H23*100/$E23</f>
        <v>34.712151103794582</v>
      </c>
      <c r="J23" s="1">
        <f>J7+J10+J13+J16+J19</f>
        <v>66616</v>
      </c>
      <c r="K23" s="1">
        <f>J23*100/$E23</f>
        <v>29.011789196792922</v>
      </c>
      <c r="L23" s="1">
        <f>L7+L10+L13+L16+L19</f>
        <v>17772</v>
      </c>
      <c r="M23" s="1">
        <f>L23*100/$E23</f>
        <v>7.7398450463162574</v>
      </c>
      <c r="N23" s="1">
        <f>N7+N10+N13+N16+N19</f>
        <v>3470</v>
      </c>
      <c r="O23" s="1">
        <f>N23*100/$E23</f>
        <v>1.5112121489262555</v>
      </c>
    </row>
    <row r="24" spans="1:15" s="28" customFormat="1" ht="11.45" customHeight="1" x14ac:dyDescent="0.2">
      <c r="A24" s="55"/>
      <c r="B24" s="39"/>
      <c r="C24" s="39"/>
      <c r="D24" s="3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11.45" customHeight="1" x14ac:dyDescent="0.2">
      <c r="A25" s="55" t="s">
        <v>241</v>
      </c>
      <c r="B25" s="39"/>
      <c r="C25" s="39"/>
      <c r="D25" s="3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1.45" customHeight="1" x14ac:dyDescent="0.2">
      <c r="A26" s="38" t="s">
        <v>233</v>
      </c>
      <c r="B26" s="39"/>
      <c r="C26" s="39"/>
      <c r="D26" s="39"/>
      <c r="E26" s="38">
        <f>F26+H26+J26+L26+N26</f>
        <v>3</v>
      </c>
      <c r="F26" s="38">
        <v>1</v>
      </c>
      <c r="G26" s="39"/>
      <c r="H26" s="38">
        <v>2</v>
      </c>
      <c r="I26" s="39"/>
      <c r="J26" s="38">
        <v>0</v>
      </c>
      <c r="K26" s="39"/>
      <c r="L26" s="38">
        <v>0</v>
      </c>
      <c r="M26" s="39"/>
      <c r="N26" s="38">
        <v>0</v>
      </c>
      <c r="O26" s="39"/>
    </row>
    <row r="27" spans="1:15" ht="11.45" customHeight="1" x14ac:dyDescent="0.2">
      <c r="A27" s="38" t="s">
        <v>234</v>
      </c>
      <c r="B27" s="39"/>
      <c r="C27" s="39"/>
      <c r="D27" s="39"/>
      <c r="E27" s="38">
        <f>F27+H27+J27+L27+N27</f>
        <v>1</v>
      </c>
      <c r="F27" s="38"/>
      <c r="G27" s="39"/>
      <c r="H27" s="38"/>
      <c r="I27" s="39"/>
      <c r="J27" s="38">
        <v>1</v>
      </c>
      <c r="K27" s="39"/>
      <c r="L27" s="39"/>
      <c r="M27" s="39"/>
      <c r="N27" s="39"/>
      <c r="O27" s="39"/>
    </row>
    <row r="28" spans="1:15" ht="11.45" customHeight="1" x14ac:dyDescent="0.2">
      <c r="A28" s="38" t="s">
        <v>246</v>
      </c>
      <c r="B28" s="39"/>
      <c r="C28" s="39"/>
      <c r="D28" s="39"/>
      <c r="E28" s="38"/>
      <c r="F28" s="38"/>
      <c r="G28" s="39"/>
      <c r="H28" s="38"/>
      <c r="I28" s="39"/>
      <c r="J28" s="38"/>
      <c r="K28" s="39"/>
      <c r="L28" s="39"/>
      <c r="M28" s="39"/>
      <c r="N28" s="39"/>
      <c r="O28" s="39"/>
    </row>
    <row r="29" spans="1:15" ht="11.45" customHeight="1" x14ac:dyDescent="0.2">
      <c r="A29" s="38" t="s">
        <v>237</v>
      </c>
      <c r="B29" s="38"/>
      <c r="C29" s="38"/>
      <c r="D29" s="38"/>
      <c r="E29" s="38"/>
      <c r="F29" s="38"/>
      <c r="G29" s="38">
        <f>1*16.67</f>
        <v>16.670000000000002</v>
      </c>
      <c r="H29" s="38"/>
      <c r="I29" s="38">
        <f>2*16.67</f>
        <v>33.340000000000003</v>
      </c>
      <c r="J29" s="38"/>
      <c r="K29" s="38">
        <f>1*16.67</f>
        <v>16.670000000000002</v>
      </c>
      <c r="L29" s="38"/>
      <c r="M29" s="38"/>
      <c r="N29" s="38"/>
      <c r="O29" s="38"/>
    </row>
    <row r="30" spans="1:15" ht="11.45" customHeight="1" x14ac:dyDescent="0.2">
      <c r="A30" s="38" t="s">
        <v>255</v>
      </c>
      <c r="B30" s="39"/>
      <c r="C30" s="39"/>
      <c r="D30" s="39"/>
      <c r="E30" s="38"/>
      <c r="F30" s="38"/>
      <c r="G30" s="38">
        <f>G23-G29</f>
        <v>10.355002504169985</v>
      </c>
      <c r="H30" s="38"/>
      <c r="I30" s="38">
        <f>I23-I29</f>
        <v>1.3721511037945788</v>
      </c>
      <c r="J30" s="38"/>
      <c r="K30" s="38">
        <f>K23-K29</f>
        <v>12.34178919679292</v>
      </c>
      <c r="L30" s="39"/>
      <c r="M30" s="38">
        <f>M23-M29</f>
        <v>7.7398450463162574</v>
      </c>
      <c r="N30" s="38"/>
      <c r="O30" s="38">
        <f>O23-O29</f>
        <v>1.5112121489262555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2</v>
      </c>
      <c r="F31" s="53">
        <v>1</v>
      </c>
      <c r="G31" s="53"/>
      <c r="H31" s="53"/>
      <c r="I31" s="53"/>
      <c r="J31" s="53">
        <v>1</v>
      </c>
      <c r="K31" s="52"/>
      <c r="L31" s="53"/>
      <c r="M31" s="52"/>
      <c r="N31" s="52"/>
      <c r="O31" s="52"/>
    </row>
    <row r="32" spans="1:15" ht="11.45" customHeight="1" x14ac:dyDescent="0.2">
      <c r="A32" s="38" t="s">
        <v>239</v>
      </c>
      <c r="B32" s="39"/>
      <c r="C32" s="39"/>
      <c r="D32" s="39"/>
      <c r="E32" s="54">
        <f>E26+E27+E31</f>
        <v>6</v>
      </c>
      <c r="F32" s="38">
        <f>F26+F27+F31</f>
        <v>2</v>
      </c>
      <c r="G32" s="38">
        <f t="shared" ref="G32:O32" si="5">G26+G27+G31</f>
        <v>0</v>
      </c>
      <c r="H32" s="38">
        <f t="shared" si="5"/>
        <v>2</v>
      </c>
      <c r="I32" s="38">
        <f t="shared" si="5"/>
        <v>0</v>
      </c>
      <c r="J32" s="38">
        <f t="shared" si="5"/>
        <v>2</v>
      </c>
      <c r="K32" s="38">
        <f t="shared" si="5"/>
        <v>0</v>
      </c>
      <c r="L32" s="38">
        <f t="shared" si="5"/>
        <v>0</v>
      </c>
      <c r="M32" s="38">
        <f t="shared" si="5"/>
        <v>0</v>
      </c>
      <c r="N32" s="38">
        <f t="shared" si="5"/>
        <v>0</v>
      </c>
      <c r="O32" s="38">
        <f t="shared" si="5"/>
        <v>0</v>
      </c>
    </row>
    <row r="33" spans="1:15" ht="11.45" customHeight="1" x14ac:dyDescent="0.2">
      <c r="A33" s="38" t="s">
        <v>245</v>
      </c>
      <c r="B33" s="39"/>
      <c r="C33" s="39"/>
      <c r="D33" s="39"/>
      <c r="E33" s="56">
        <f>G33+I33+K33+M33</f>
        <v>89.580000000000013</v>
      </c>
      <c r="F33" s="38"/>
      <c r="G33" s="38">
        <v>27.12</v>
      </c>
      <c r="H33" s="38"/>
      <c r="I33" s="38">
        <v>33.340000000000003</v>
      </c>
      <c r="J33" s="38"/>
      <c r="K33" s="38">
        <v>29.12</v>
      </c>
      <c r="L33" s="38"/>
      <c r="M33" s="38">
        <v>0</v>
      </c>
      <c r="N33" s="38"/>
      <c r="O33" s="38"/>
    </row>
    <row r="34" spans="1:15" ht="11.45" customHeight="1" x14ac:dyDescent="0.2">
      <c r="A34" s="38" t="s">
        <v>314</v>
      </c>
      <c r="B34" s="39"/>
      <c r="C34" s="39"/>
      <c r="D34" s="39"/>
      <c r="E34" s="54">
        <f>F34+H34+J34+L34</f>
        <v>205690.90860000002</v>
      </c>
      <c r="F34" s="38">
        <f>G33*$E23/100</f>
        <v>62272.130400000002</v>
      </c>
      <c r="G34" s="38"/>
      <c r="H34" s="38">
        <f>I33*$E23/100</f>
        <v>76554.30780000001</v>
      </c>
      <c r="I34" s="38"/>
      <c r="J34" s="38">
        <f>K33*$E23/100</f>
        <v>66864.470400000006</v>
      </c>
      <c r="K34" s="38"/>
      <c r="L34" s="38">
        <f>M33*$E23/100</f>
        <v>0</v>
      </c>
      <c r="M34" s="38"/>
      <c r="N34" s="38">
        <f>O33*$E23/100</f>
        <v>0</v>
      </c>
      <c r="O34" s="38"/>
    </row>
    <row r="35" spans="1:15" ht="11.45" customHeight="1" x14ac:dyDescent="0.2">
      <c r="A35" s="79" t="s">
        <v>313</v>
      </c>
      <c r="B35" s="80"/>
      <c r="C35" s="80"/>
      <c r="D35" s="80"/>
      <c r="E35" s="67" t="s">
        <v>267</v>
      </c>
      <c r="F35" s="63"/>
      <c r="G35" s="67" t="s">
        <v>268</v>
      </c>
      <c r="H35" s="63"/>
      <c r="I35" s="67" t="s">
        <v>264</v>
      </c>
      <c r="J35" s="63"/>
      <c r="K35" s="67" t="s">
        <v>269</v>
      </c>
      <c r="L35" s="63"/>
      <c r="M35" s="63"/>
      <c r="N35" s="63"/>
      <c r="O35" s="63"/>
    </row>
    <row r="36" spans="1:15" ht="11.45" customHeight="1" x14ac:dyDescent="0.2">
      <c r="A36" s="81" t="s">
        <v>312</v>
      </c>
      <c r="B36" s="82"/>
      <c r="C36" s="82"/>
      <c r="D36" s="82"/>
      <c r="E36" s="95" t="s">
        <v>329</v>
      </c>
      <c r="F36" s="83"/>
      <c r="G36" s="95" t="s">
        <v>260</v>
      </c>
      <c r="H36" s="83"/>
      <c r="I36" s="95" t="s">
        <v>328</v>
      </c>
      <c r="J36" s="83"/>
      <c r="K36" s="57" t="s">
        <v>277</v>
      </c>
      <c r="L36" s="28"/>
      <c r="M36" s="95" t="s">
        <v>260</v>
      </c>
      <c r="N36" s="28"/>
      <c r="O36" s="95" t="s">
        <v>260</v>
      </c>
    </row>
    <row r="37" spans="1:15" ht="11.45" customHeight="1" x14ac:dyDescent="0.2">
      <c r="A37" s="38" t="s">
        <v>240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 ht="11.45" customHeight="1" x14ac:dyDescent="0.2">
      <c r="A38" s="38" t="s">
        <v>252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 ht="11.45" customHeight="1" x14ac:dyDescent="0.2">
      <c r="A39" s="61" t="s">
        <v>276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11.45" customHeight="1" x14ac:dyDescent="0.2">
      <c r="A40" s="38" t="s">
        <v>253</v>
      </c>
      <c r="E40" s="28">
        <f>F40+H40+J40+L40+N40</f>
        <v>83527</v>
      </c>
      <c r="F40" s="28">
        <v>0</v>
      </c>
      <c r="G40" s="28">
        <f>F40*100/$E23</f>
        <v>0</v>
      </c>
      <c r="H40" s="28">
        <f>H23-H5-H8</f>
        <v>54208</v>
      </c>
      <c r="I40" s="28">
        <f>H40*100/$E23</f>
        <v>23.608008117865836</v>
      </c>
      <c r="J40" s="28">
        <f>J5+J8</f>
        <v>29319</v>
      </c>
      <c r="K40" s="28">
        <f>J40*100/$E23</f>
        <v>12.768653888867114</v>
      </c>
      <c r="L40" s="28">
        <v>0</v>
      </c>
      <c r="M40" s="28">
        <f>L40*100/$E23</f>
        <v>0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E41" s="95" t="s">
        <v>329</v>
      </c>
      <c r="F41" s="83"/>
      <c r="G41" s="95" t="s">
        <v>260</v>
      </c>
      <c r="H41" s="83"/>
      <c r="I41" s="95" t="s">
        <v>328</v>
      </c>
      <c r="J41" s="83"/>
      <c r="K41" s="57" t="s">
        <v>277</v>
      </c>
      <c r="L41" s="28"/>
      <c r="M41" s="95" t="s">
        <v>260</v>
      </c>
      <c r="N41" s="28"/>
      <c r="O41" s="95" t="s">
        <v>260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50" zoomScaleNormal="150" workbookViewId="0">
      <pane ySplit="4" topLeftCell="A25" activePane="bottomLeft" state="frozen"/>
      <selection pane="bottomLeft" activeCell="E36" sqref="E36"/>
    </sheetView>
  </sheetViews>
  <sheetFormatPr defaultColWidth="11.5703125" defaultRowHeight="11.45" customHeight="1" x14ac:dyDescent="0.2"/>
  <cols>
    <col min="1" max="1" width="5.5703125" customWidth="1"/>
    <col min="2" max="3" width="5.140625" customWidth="1"/>
    <col min="4" max="4" width="15.28515625" customWidth="1"/>
    <col min="5" max="5" width="5.85546875" customWidth="1"/>
    <col min="6" max="8" width="5" customWidth="1"/>
    <col min="9" max="9" width="5.7109375" customWidth="1"/>
    <col min="10" max="15" width="5" customWidth="1"/>
  </cols>
  <sheetData>
    <row r="1" spans="1:15" ht="12.75" customHeight="1" x14ac:dyDescent="0.2">
      <c r="A1" t="s">
        <v>331</v>
      </c>
    </row>
    <row r="2" spans="1:15" ht="12.75" customHeight="1" x14ac:dyDescent="0.2">
      <c r="A2" s="35" t="s">
        <v>223</v>
      </c>
    </row>
    <row r="3" spans="1:15" ht="12.75" customHeight="1" x14ac:dyDescent="0.2">
      <c r="E3" s="35" t="s">
        <v>205</v>
      </c>
    </row>
    <row r="4" spans="1:15" ht="12.75" customHeight="1" x14ac:dyDescent="0.2">
      <c r="A4" s="36" t="s">
        <v>206</v>
      </c>
      <c r="B4" s="36" t="s">
        <v>207</v>
      </c>
      <c r="C4" s="36" t="s">
        <v>208</v>
      </c>
      <c r="D4" s="37" t="s">
        <v>209</v>
      </c>
      <c r="E4" s="6" t="s">
        <v>4</v>
      </c>
      <c r="F4" s="7" t="s">
        <v>5</v>
      </c>
      <c r="G4" s="7" t="s">
        <v>6</v>
      </c>
      <c r="H4" s="8" t="s">
        <v>7</v>
      </c>
      <c r="I4" s="8" t="s">
        <v>6</v>
      </c>
      <c r="J4" s="9" t="s">
        <v>8</v>
      </c>
      <c r="K4" s="9" t="s">
        <v>6</v>
      </c>
      <c r="L4" s="10" t="s">
        <v>9</v>
      </c>
      <c r="M4" s="10" t="s">
        <v>6</v>
      </c>
      <c r="N4" s="6" t="s">
        <v>10</v>
      </c>
      <c r="O4" s="6" t="s">
        <v>6</v>
      </c>
    </row>
    <row r="5" spans="1:15" ht="11.45" customHeight="1" x14ac:dyDescent="0.2">
      <c r="A5" s="1">
        <v>59</v>
      </c>
      <c r="B5" s="1"/>
      <c r="C5" s="1"/>
      <c r="D5" s="15" t="s">
        <v>133</v>
      </c>
      <c r="E5" s="1">
        <f>F5+H5+J5+L5+N5</f>
        <v>33165</v>
      </c>
      <c r="F5" s="1">
        <v>15804</v>
      </c>
      <c r="G5" s="1">
        <f t="shared" ref="G5:G10" si="0">F5*100/$E5</f>
        <v>47.652645861601087</v>
      </c>
      <c r="H5" s="1">
        <v>8001</v>
      </c>
      <c r="I5" s="1">
        <f t="shared" ref="I5:I10" si="1">H5*100/$E5</f>
        <v>24.124830393487109</v>
      </c>
      <c r="J5" s="1">
        <v>5919</v>
      </c>
      <c r="K5" s="1">
        <f t="shared" ref="K5:K10" si="2">J5*100/$E5</f>
        <v>17.847127996381726</v>
      </c>
      <c r="L5" s="1">
        <v>2530</v>
      </c>
      <c r="M5" s="1">
        <f t="shared" ref="M5:M10" si="3">L5*100/$E5</f>
        <v>7.6285240464344941</v>
      </c>
      <c r="N5" s="1">
        <f>573+182+156</f>
        <v>911</v>
      </c>
      <c r="O5" s="1">
        <f t="shared" ref="O5:O10" si="4">N5*100/$E5</f>
        <v>2.7468717020955826</v>
      </c>
    </row>
    <row r="6" spans="1:15" ht="11.45" customHeight="1" x14ac:dyDescent="0.2">
      <c r="A6" s="1">
        <v>58</v>
      </c>
      <c r="B6" s="1"/>
      <c r="C6" s="1"/>
      <c r="D6" s="15" t="s">
        <v>134</v>
      </c>
      <c r="E6" s="1">
        <f>F6+H6+J6+L6+N6</f>
        <v>44525</v>
      </c>
      <c r="F6" s="1">
        <v>25955</v>
      </c>
      <c r="G6" s="1">
        <f t="shared" si="0"/>
        <v>58.293093767546324</v>
      </c>
      <c r="H6" s="1">
        <v>0</v>
      </c>
      <c r="I6" s="1">
        <f t="shared" si="1"/>
        <v>0</v>
      </c>
      <c r="J6" s="1">
        <v>5600</v>
      </c>
      <c r="K6" s="1">
        <f t="shared" si="2"/>
        <v>12.577203818079731</v>
      </c>
      <c r="L6" s="1">
        <v>1728</v>
      </c>
      <c r="M6" s="1">
        <f t="shared" si="3"/>
        <v>3.8809657495788881</v>
      </c>
      <c r="N6" s="1">
        <f>10452+534+256</f>
        <v>11242</v>
      </c>
      <c r="O6" s="1">
        <f t="shared" si="4"/>
        <v>25.248736664795057</v>
      </c>
    </row>
    <row r="7" spans="1:15" ht="11.45" customHeight="1" x14ac:dyDescent="0.2">
      <c r="A7" s="1"/>
      <c r="B7" s="1">
        <v>41</v>
      </c>
      <c r="C7" s="5" t="s">
        <v>5</v>
      </c>
      <c r="D7" s="15" t="s">
        <v>135</v>
      </c>
      <c r="E7" s="16">
        <f>E5+E6</f>
        <v>77690</v>
      </c>
      <c r="F7" s="16">
        <f>F5+F6</f>
        <v>41759</v>
      </c>
      <c r="G7" s="16">
        <f t="shared" si="0"/>
        <v>53.750804479340971</v>
      </c>
      <c r="H7" s="16">
        <f>H5+H6</f>
        <v>8001</v>
      </c>
      <c r="I7" s="16">
        <f t="shared" si="1"/>
        <v>10.298622731368258</v>
      </c>
      <c r="J7" s="16">
        <f>J5+J6</f>
        <v>11519</v>
      </c>
      <c r="K7" s="16">
        <f t="shared" si="2"/>
        <v>14.826876045823143</v>
      </c>
      <c r="L7" s="16">
        <f>L5+L6</f>
        <v>4258</v>
      </c>
      <c r="M7" s="16">
        <f t="shared" si="3"/>
        <v>5.4807568541639853</v>
      </c>
      <c r="N7" s="16">
        <f>N5+N6</f>
        <v>12153</v>
      </c>
      <c r="O7" s="16">
        <f t="shared" si="4"/>
        <v>15.642939889303642</v>
      </c>
    </row>
    <row r="8" spans="1:15" ht="11.45" customHeight="1" x14ac:dyDescent="0.2">
      <c r="A8" s="1">
        <v>19</v>
      </c>
      <c r="B8" s="1"/>
      <c r="C8" s="1"/>
      <c r="D8" s="20" t="s">
        <v>136</v>
      </c>
      <c r="E8" s="1">
        <f>F8+H8+J8+L8+N8</f>
        <v>35427</v>
      </c>
      <c r="F8" s="1">
        <v>7869</v>
      </c>
      <c r="G8" s="1">
        <f t="shared" si="0"/>
        <v>22.211872300787533</v>
      </c>
      <c r="H8" s="1">
        <v>11722</v>
      </c>
      <c r="I8" s="1">
        <f t="shared" si="1"/>
        <v>33.087757924746661</v>
      </c>
      <c r="J8" s="1">
        <v>12130</v>
      </c>
      <c r="K8" s="1">
        <f t="shared" si="2"/>
        <v>34.239421909842775</v>
      </c>
      <c r="L8" s="1">
        <v>2618</v>
      </c>
      <c r="M8" s="1">
        <f t="shared" si="3"/>
        <v>7.3898439043667263</v>
      </c>
      <c r="N8" s="1">
        <f>392+353+200+143</f>
        <v>1088</v>
      </c>
      <c r="O8" s="1">
        <f t="shared" si="4"/>
        <v>3.0711039602563015</v>
      </c>
    </row>
    <row r="9" spans="1:15" ht="11.45" customHeight="1" x14ac:dyDescent="0.2">
      <c r="A9" s="1">
        <v>104</v>
      </c>
      <c r="B9" s="1"/>
      <c r="C9" s="1"/>
      <c r="D9" s="17" t="s">
        <v>137</v>
      </c>
      <c r="E9" s="1">
        <f>F9+H9+J9+L9+N9</f>
        <v>41595</v>
      </c>
      <c r="F9" s="1">
        <v>11845</v>
      </c>
      <c r="G9" s="1">
        <f t="shared" si="0"/>
        <v>28.476980406298836</v>
      </c>
      <c r="H9" s="1">
        <v>13456</v>
      </c>
      <c r="I9" s="1">
        <f t="shared" si="1"/>
        <v>32.350042072364467</v>
      </c>
      <c r="J9" s="1">
        <v>12922</v>
      </c>
      <c r="K9" s="1">
        <f t="shared" si="2"/>
        <v>31.066233922346434</v>
      </c>
      <c r="L9" s="1">
        <v>2693</v>
      </c>
      <c r="M9" s="1">
        <f t="shared" si="3"/>
        <v>6.474335857675201</v>
      </c>
      <c r="N9" s="1">
        <f>386+293</f>
        <v>679</v>
      </c>
      <c r="O9" s="1">
        <f t="shared" si="4"/>
        <v>1.6324077413150619</v>
      </c>
    </row>
    <row r="10" spans="1:15" ht="11.45" customHeight="1" x14ac:dyDescent="0.2">
      <c r="A10" s="5"/>
      <c r="B10" s="5">
        <v>42</v>
      </c>
      <c r="C10" s="5" t="s">
        <v>7</v>
      </c>
      <c r="D10" s="19" t="s">
        <v>138</v>
      </c>
      <c r="E10" s="12">
        <f>E8+E9</f>
        <v>77022</v>
      </c>
      <c r="F10" s="12">
        <f>F8+F9</f>
        <v>19714</v>
      </c>
      <c r="G10" s="12">
        <f t="shared" si="0"/>
        <v>25.595284464179066</v>
      </c>
      <c r="H10" s="12">
        <f>H8+H9</f>
        <v>25178</v>
      </c>
      <c r="I10" s="12">
        <f t="shared" si="1"/>
        <v>32.689361481135258</v>
      </c>
      <c r="J10" s="12">
        <f>J8+J9</f>
        <v>25052</v>
      </c>
      <c r="K10" s="12">
        <f t="shared" si="2"/>
        <v>32.525771857391398</v>
      </c>
      <c r="L10" s="12">
        <f>L8+L9</f>
        <v>5311</v>
      </c>
      <c r="M10" s="12">
        <f t="shared" si="3"/>
        <v>6.8954324738386434</v>
      </c>
      <c r="N10" s="12">
        <f>N8+N9</f>
        <v>1767</v>
      </c>
      <c r="O10" s="12">
        <f t="shared" si="4"/>
        <v>2.2941497234556358</v>
      </c>
    </row>
    <row r="14" spans="1:15" ht="11.45" customHeight="1" x14ac:dyDescent="0.2">
      <c r="A14" s="1"/>
      <c r="B14" s="1"/>
      <c r="C14" s="1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11.45" customHeight="1" x14ac:dyDescent="0.2">
      <c r="A15" s="1"/>
      <c r="B15" s="1"/>
      <c r="C15" s="1"/>
      <c r="D15" s="20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1.45" customHeight="1" x14ac:dyDescent="0.2">
      <c r="A16" s="1"/>
      <c r="B16" s="1"/>
      <c r="C16" s="1"/>
      <c r="D16" s="20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21" spans="1:15" ht="11.45" customHeight="1" x14ac:dyDescent="0.2">
      <c r="A21" s="39" t="s">
        <v>210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11.45" customHeight="1" x14ac:dyDescent="0.2">
      <c r="A22" s="55" t="s">
        <v>231</v>
      </c>
      <c r="B22" s="39"/>
      <c r="C22" s="39"/>
      <c r="D22" s="39"/>
      <c r="E22" s="51">
        <v>4</v>
      </c>
      <c r="F22" s="51">
        <v>2</v>
      </c>
      <c r="G22" s="39"/>
      <c r="H22" s="38">
        <v>1</v>
      </c>
      <c r="I22" s="38"/>
      <c r="J22" s="38">
        <v>1</v>
      </c>
      <c r="K22" s="38"/>
      <c r="L22" s="38">
        <v>0</v>
      </c>
      <c r="M22" s="39"/>
      <c r="N22" s="39"/>
      <c r="O22" s="39"/>
    </row>
    <row r="23" spans="1:15" ht="11.45" customHeight="1" x14ac:dyDescent="0.2">
      <c r="A23" s="55" t="s">
        <v>232</v>
      </c>
      <c r="B23" s="39"/>
      <c r="C23" s="39"/>
      <c r="D23" s="39"/>
      <c r="E23" s="1">
        <f>E7+E10+E13+E16+E19</f>
        <v>154712</v>
      </c>
      <c r="F23" s="1">
        <f>F7+F10+F13+F16+F19</f>
        <v>61473</v>
      </c>
      <c r="G23" s="1">
        <f>F23*100/$E23</f>
        <v>39.733828015926363</v>
      </c>
      <c r="H23" s="1">
        <f>H7+H10+H13+H16+H19</f>
        <v>33179</v>
      </c>
      <c r="I23" s="1">
        <f>H23*100/$E23</f>
        <v>21.445653860075495</v>
      </c>
      <c r="J23" s="1">
        <f>J7+J10+J13+J16+J19</f>
        <v>36571</v>
      </c>
      <c r="K23" s="1">
        <f>J23*100/$E23</f>
        <v>23.638114690521743</v>
      </c>
      <c r="L23" s="1">
        <f>L7+L10+L13+L16+L19</f>
        <v>9569</v>
      </c>
      <c r="M23" s="1">
        <f>L23*100/$E23</f>
        <v>6.1850405915507523</v>
      </c>
      <c r="N23" s="1">
        <f>N7+N10+N13+N16+N19</f>
        <v>13920</v>
      </c>
      <c r="O23" s="1">
        <f>N23*100/$E23</f>
        <v>8.9973628419256428</v>
      </c>
    </row>
    <row r="24" spans="1:15" s="28" customFormat="1" ht="11.45" customHeight="1" x14ac:dyDescent="0.2">
      <c r="A24" s="55"/>
      <c r="B24" s="39"/>
      <c r="C24" s="39"/>
      <c r="D24" s="3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11.45" customHeight="1" x14ac:dyDescent="0.2">
      <c r="A25" s="55" t="s">
        <v>241</v>
      </c>
      <c r="B25" s="39"/>
      <c r="C25" s="39"/>
      <c r="D25" s="3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1.45" customHeight="1" x14ac:dyDescent="0.2">
      <c r="A26" s="38" t="s">
        <v>233</v>
      </c>
      <c r="B26" s="39"/>
      <c r="C26" s="39"/>
      <c r="D26" s="39"/>
      <c r="E26" s="38">
        <f>F26+H26+J26+L26+N26</f>
        <v>2</v>
      </c>
      <c r="F26" s="38">
        <v>1</v>
      </c>
      <c r="G26" s="39"/>
      <c r="H26" s="38">
        <v>1</v>
      </c>
      <c r="I26" s="39"/>
      <c r="J26" s="38"/>
      <c r="K26" s="39"/>
      <c r="L26" s="38">
        <v>0</v>
      </c>
      <c r="M26" s="39"/>
      <c r="N26" s="38">
        <v>0</v>
      </c>
      <c r="O26" s="39"/>
    </row>
    <row r="27" spans="1:15" ht="11.45" customHeight="1" x14ac:dyDescent="0.2">
      <c r="A27" s="38" t="s">
        <v>234</v>
      </c>
      <c r="B27" s="39"/>
      <c r="C27" s="39"/>
      <c r="D27" s="39"/>
      <c r="E27" s="38">
        <f>F27+H27+J27+L27+N27</f>
        <v>1</v>
      </c>
      <c r="F27" s="38"/>
      <c r="G27" s="39"/>
      <c r="H27" s="38"/>
      <c r="I27" s="39"/>
      <c r="J27" s="38">
        <v>1</v>
      </c>
      <c r="K27" s="39"/>
      <c r="L27" s="39"/>
      <c r="M27" s="39"/>
      <c r="N27" s="39"/>
      <c r="O27" s="39"/>
    </row>
    <row r="28" spans="1:15" ht="11.45" customHeight="1" x14ac:dyDescent="0.2">
      <c r="A28" s="38" t="s">
        <v>242</v>
      </c>
      <c r="B28" s="39"/>
      <c r="C28" s="39"/>
      <c r="D28" s="39"/>
      <c r="E28" s="38"/>
      <c r="F28" s="38"/>
      <c r="G28" s="39"/>
      <c r="H28" s="38"/>
      <c r="I28" s="39"/>
      <c r="J28" s="38"/>
      <c r="K28" s="39"/>
      <c r="L28" s="39"/>
      <c r="M28" s="39"/>
      <c r="N28" s="39"/>
      <c r="O28" s="39"/>
    </row>
    <row r="29" spans="1:15" ht="11.45" customHeight="1" x14ac:dyDescent="0.2">
      <c r="A29" s="38" t="s">
        <v>237</v>
      </c>
      <c r="B29" s="38"/>
      <c r="C29" s="38"/>
      <c r="D29" s="38"/>
      <c r="E29" s="38"/>
      <c r="F29" s="38"/>
      <c r="G29" s="38">
        <f>1*25</f>
        <v>25</v>
      </c>
      <c r="H29" s="38"/>
      <c r="I29" s="38">
        <f>1*25</f>
        <v>25</v>
      </c>
      <c r="J29" s="38"/>
      <c r="K29" s="38">
        <f>1*25</f>
        <v>25</v>
      </c>
      <c r="L29" s="38"/>
      <c r="M29" s="38"/>
      <c r="N29" s="38"/>
      <c r="O29" s="38"/>
    </row>
    <row r="30" spans="1:15" ht="11.45" customHeight="1" x14ac:dyDescent="0.2">
      <c r="A30" s="38" t="s">
        <v>255</v>
      </c>
      <c r="B30" s="39"/>
      <c r="C30" s="39"/>
      <c r="D30" s="39"/>
      <c r="E30" s="38"/>
      <c r="F30" s="38"/>
      <c r="G30" s="38">
        <f>G23-G29</f>
        <v>14.733828015926363</v>
      </c>
      <c r="H30" s="38"/>
      <c r="I30" s="38">
        <f>I23-I29</f>
        <v>-3.5543461399245047</v>
      </c>
      <c r="J30" s="38"/>
      <c r="K30" s="38">
        <f>K23-K29</f>
        <v>-1.3618853094782573</v>
      </c>
      <c r="L30" s="39"/>
      <c r="M30" s="38">
        <f>M23-M29</f>
        <v>6.1850405915507523</v>
      </c>
      <c r="N30" s="38"/>
      <c r="O30" s="38">
        <f>O23-O29</f>
        <v>8.9973628419256428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1</v>
      </c>
      <c r="F31" s="53">
        <v>1</v>
      </c>
      <c r="G31" s="53"/>
      <c r="H31" s="53"/>
      <c r="I31" s="53"/>
      <c r="J31" s="53"/>
      <c r="K31" s="52"/>
      <c r="L31" s="53"/>
      <c r="M31" s="52"/>
      <c r="N31" s="52"/>
      <c r="O31" s="52"/>
    </row>
    <row r="32" spans="1:15" ht="11.45" customHeight="1" x14ac:dyDescent="0.2">
      <c r="A32" s="38" t="s">
        <v>239</v>
      </c>
      <c r="B32" s="39"/>
      <c r="C32" s="39"/>
      <c r="D32" s="39"/>
      <c r="E32" s="54">
        <f>E26+E27+E31</f>
        <v>4</v>
      </c>
      <c r="F32" s="38">
        <f>F26+F27+F31</f>
        <v>2</v>
      </c>
      <c r="G32" s="38">
        <f t="shared" ref="G32:O32" si="5">G26+G27+G31</f>
        <v>0</v>
      </c>
      <c r="H32" s="38">
        <f t="shared" si="5"/>
        <v>1</v>
      </c>
      <c r="I32" s="38">
        <f t="shared" si="5"/>
        <v>0</v>
      </c>
      <c r="J32" s="38">
        <f t="shared" si="5"/>
        <v>1</v>
      </c>
      <c r="K32" s="38">
        <f t="shared" si="5"/>
        <v>0</v>
      </c>
      <c r="L32" s="38">
        <f t="shared" si="5"/>
        <v>0</v>
      </c>
      <c r="M32" s="38">
        <f t="shared" si="5"/>
        <v>0</v>
      </c>
      <c r="N32" s="38">
        <f t="shared" si="5"/>
        <v>0</v>
      </c>
      <c r="O32" s="38">
        <f t="shared" si="5"/>
        <v>0</v>
      </c>
    </row>
    <row r="33" spans="1:15" ht="11.45" customHeight="1" x14ac:dyDescent="0.2">
      <c r="A33" s="38" t="s">
        <v>245</v>
      </c>
      <c r="B33" s="39"/>
      <c r="C33" s="39"/>
      <c r="D33" s="39"/>
      <c r="E33" s="56">
        <f>G33+I33+K33+M33</f>
        <v>84.7</v>
      </c>
      <c r="F33" s="38"/>
      <c r="G33" s="38">
        <v>39.700000000000003</v>
      </c>
      <c r="H33" s="38"/>
      <c r="I33" s="38">
        <v>21.4</v>
      </c>
      <c r="J33" s="38"/>
      <c r="K33" s="38">
        <v>23.6</v>
      </c>
      <c r="L33" s="38"/>
      <c r="M33" s="38">
        <v>0</v>
      </c>
      <c r="N33" s="38"/>
      <c r="O33" s="38"/>
    </row>
    <row r="34" spans="1:15" ht="11.45" customHeight="1" x14ac:dyDescent="0.2">
      <c r="A34" s="38" t="s">
        <v>314</v>
      </c>
      <c r="B34" s="39"/>
      <c r="C34" s="39"/>
      <c r="D34" s="39"/>
      <c r="E34" s="54">
        <f>F34+H34+J34+L34</f>
        <v>131041.06400000001</v>
      </c>
      <c r="F34" s="38">
        <f>G33*$E23/100</f>
        <v>61420.664000000004</v>
      </c>
      <c r="G34" s="38"/>
      <c r="H34" s="38">
        <f>I33*$E23/100</f>
        <v>33108.367999999995</v>
      </c>
      <c r="I34" s="38"/>
      <c r="J34" s="38">
        <f>K33*$E23/100</f>
        <v>36512.031999999999</v>
      </c>
      <c r="K34" s="38"/>
      <c r="L34" s="38">
        <f>M33*$E23/100</f>
        <v>0</v>
      </c>
      <c r="M34" s="38"/>
      <c r="N34" s="38">
        <f>O33*$E23/100</f>
        <v>0</v>
      </c>
      <c r="O34" s="38"/>
    </row>
    <row r="35" spans="1:15" ht="11.45" customHeight="1" x14ac:dyDescent="0.2">
      <c r="A35" s="79" t="s">
        <v>313</v>
      </c>
      <c r="B35" s="80"/>
      <c r="C35" s="80"/>
      <c r="D35" s="80"/>
      <c r="E35" s="68">
        <v>0.84699999999999998</v>
      </c>
      <c r="F35" s="63"/>
      <c r="G35" s="68">
        <v>0.39700000000000002</v>
      </c>
      <c r="H35" s="63"/>
      <c r="I35" s="68">
        <v>0.214</v>
      </c>
      <c r="J35" s="63"/>
      <c r="K35" s="68">
        <v>0.23599999999999999</v>
      </c>
      <c r="L35" s="63"/>
      <c r="M35" s="63"/>
      <c r="N35" s="69"/>
      <c r="O35" s="63"/>
    </row>
    <row r="36" spans="1:15" ht="11.45" customHeight="1" x14ac:dyDescent="0.2">
      <c r="A36" s="81" t="s">
        <v>312</v>
      </c>
      <c r="B36" s="82"/>
      <c r="C36" s="82"/>
      <c r="D36" s="82"/>
      <c r="E36" s="62" t="s">
        <v>281</v>
      </c>
      <c r="F36" s="38"/>
      <c r="G36" s="62" t="s">
        <v>278</v>
      </c>
      <c r="H36" s="38"/>
      <c r="I36" s="62" t="s">
        <v>279</v>
      </c>
      <c r="K36" s="62" t="s">
        <v>280</v>
      </c>
      <c r="L36" s="38"/>
      <c r="M36" s="62" t="s">
        <v>260</v>
      </c>
      <c r="N36" s="38"/>
      <c r="O36" s="38"/>
    </row>
    <row r="37" spans="1:15" ht="11.45" customHeight="1" x14ac:dyDescent="0.2">
      <c r="A37" s="38" t="s">
        <v>240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 ht="11.45" customHeight="1" x14ac:dyDescent="0.2">
      <c r="A38" s="38" t="s">
        <v>252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 ht="11.45" customHeight="1" x14ac:dyDescent="0.2">
      <c r="A39" s="61" t="s">
        <v>276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11.45" customHeight="1" x14ac:dyDescent="0.2">
      <c r="A40" s="38" t="s">
        <v>253</v>
      </c>
      <c r="E40" s="28">
        <f>F40+H40+J40+L40+N40</f>
        <v>67345</v>
      </c>
      <c r="F40" s="28">
        <f>F5+F6</f>
        <v>41759</v>
      </c>
      <c r="G40" s="28">
        <f>F40*100/$E23</f>
        <v>26.991442163503802</v>
      </c>
      <c r="H40" s="28">
        <f>H9</f>
        <v>13456</v>
      </c>
      <c r="I40" s="28">
        <f>H40*100/$E23</f>
        <v>8.6974507471947877</v>
      </c>
      <c r="J40" s="28">
        <f>J8</f>
        <v>12130</v>
      </c>
      <c r="K40" s="28">
        <f>J40*100/$E23</f>
        <v>7.8403743730285953</v>
      </c>
      <c r="L40" s="28">
        <v>0</v>
      </c>
      <c r="M40" s="28">
        <f>L40*100/$E23</f>
        <v>0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E41" s="95" t="s">
        <v>281</v>
      </c>
      <c r="F41" s="83"/>
      <c r="G41" s="95" t="s">
        <v>300</v>
      </c>
      <c r="H41" s="83"/>
      <c r="I41" s="95" t="s">
        <v>279</v>
      </c>
      <c r="J41" s="83"/>
      <c r="K41" s="57" t="s">
        <v>280</v>
      </c>
      <c r="L41" s="28"/>
      <c r="M41" s="95" t="s">
        <v>260</v>
      </c>
      <c r="N41" s="28"/>
      <c r="O41" s="95" t="s">
        <v>260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50" zoomScaleNormal="150" workbookViewId="0">
      <pane ySplit="4" topLeftCell="A25" activePane="bottomLeft" state="frozen"/>
      <selection pane="bottomLeft" activeCell="E28" sqref="E28"/>
    </sheetView>
  </sheetViews>
  <sheetFormatPr defaultColWidth="11.5703125" defaultRowHeight="11.45" customHeight="1" x14ac:dyDescent="0.2"/>
  <cols>
    <col min="1" max="1" width="5.5703125" customWidth="1"/>
    <col min="2" max="3" width="5.140625" customWidth="1"/>
    <col min="4" max="4" width="14.5703125" customWidth="1"/>
    <col min="5" max="5" width="5.85546875" customWidth="1"/>
    <col min="6" max="8" width="5" customWidth="1"/>
    <col min="9" max="9" width="5.7109375" customWidth="1"/>
    <col min="10" max="13" width="5" customWidth="1"/>
    <col min="14" max="14" width="4.28515625" customWidth="1"/>
    <col min="15" max="15" width="5" customWidth="1"/>
  </cols>
  <sheetData>
    <row r="1" spans="1:15" ht="12.75" customHeight="1" x14ac:dyDescent="0.2">
      <c r="A1" t="s">
        <v>331</v>
      </c>
    </row>
    <row r="2" spans="1:15" ht="12.75" customHeight="1" x14ac:dyDescent="0.2">
      <c r="A2" s="35" t="s">
        <v>224</v>
      </c>
    </row>
    <row r="3" spans="1:15" ht="12.75" customHeight="1" x14ac:dyDescent="0.2">
      <c r="E3" s="35" t="s">
        <v>205</v>
      </c>
    </row>
    <row r="4" spans="1:15" ht="12.75" customHeight="1" x14ac:dyDescent="0.2">
      <c r="A4" s="36" t="s">
        <v>206</v>
      </c>
      <c r="B4" s="36" t="s">
        <v>207</v>
      </c>
      <c r="C4" s="36" t="s">
        <v>208</v>
      </c>
      <c r="D4" s="37" t="s">
        <v>209</v>
      </c>
      <c r="E4" s="22" t="s">
        <v>4</v>
      </c>
      <c r="F4" s="23" t="s">
        <v>5</v>
      </c>
      <c r="G4" s="23" t="s">
        <v>6</v>
      </c>
      <c r="H4" s="24" t="s">
        <v>7</v>
      </c>
      <c r="I4" s="24" t="s">
        <v>6</v>
      </c>
      <c r="J4" s="25" t="s">
        <v>8</v>
      </c>
      <c r="K4" s="25" t="s">
        <v>6</v>
      </c>
      <c r="L4" s="26" t="s">
        <v>9</v>
      </c>
      <c r="M4" s="26" t="s">
        <v>6</v>
      </c>
      <c r="N4" s="22" t="s">
        <v>10</v>
      </c>
      <c r="O4" s="22" t="s">
        <v>6</v>
      </c>
    </row>
    <row r="5" spans="1:15" ht="11.45" customHeight="1" x14ac:dyDescent="0.2">
      <c r="A5" s="1">
        <v>60</v>
      </c>
      <c r="B5" s="1"/>
      <c r="C5" s="1"/>
      <c r="D5" s="15" t="s">
        <v>139</v>
      </c>
      <c r="E5" s="22">
        <f>F5+H5+J5+L5+N5</f>
        <v>32725</v>
      </c>
      <c r="F5" s="22">
        <v>11112</v>
      </c>
      <c r="G5" s="22">
        <f t="shared" ref="G5:G13" si="0">F5*100/$E5</f>
        <v>33.955691367456076</v>
      </c>
      <c r="H5" s="22">
        <v>8571</v>
      </c>
      <c r="I5" s="22">
        <f t="shared" ref="I5:I13" si="1">H5*100/$E5</f>
        <v>26.190985485103131</v>
      </c>
      <c r="J5" s="22">
        <v>10685</v>
      </c>
      <c r="K5" s="22">
        <f t="shared" ref="K5:K13" si="2">J5*100/$E5</f>
        <v>32.650878533231477</v>
      </c>
      <c r="L5" s="22">
        <v>1938</v>
      </c>
      <c r="M5" s="22">
        <f t="shared" ref="M5:M13" si="3">L5*100/$E5</f>
        <v>5.9220779220779223</v>
      </c>
      <c r="N5" s="22">
        <f>172+162+85</f>
        <v>419</v>
      </c>
      <c r="O5" s="22">
        <f t="shared" ref="O5:O13" si="4">N5*100/$E5</f>
        <v>1.2803666921313981</v>
      </c>
    </row>
    <row r="6" spans="1:15" ht="11.45" customHeight="1" x14ac:dyDescent="0.2">
      <c r="A6" s="22">
        <v>110</v>
      </c>
      <c r="B6" s="22"/>
      <c r="C6" s="22"/>
      <c r="D6" s="24" t="s">
        <v>140</v>
      </c>
      <c r="E6" s="22">
        <f>F6+H6+J6+L6+N6</f>
        <v>28330</v>
      </c>
      <c r="F6" s="22">
        <v>7158</v>
      </c>
      <c r="G6" s="22">
        <f t="shared" si="0"/>
        <v>25.266501941404872</v>
      </c>
      <c r="H6" s="22">
        <v>9940</v>
      </c>
      <c r="I6" s="22">
        <f t="shared" si="1"/>
        <v>35.08648076244264</v>
      </c>
      <c r="J6" s="22">
        <v>9054</v>
      </c>
      <c r="K6" s="22">
        <f t="shared" si="2"/>
        <v>31.959054006353689</v>
      </c>
      <c r="L6" s="22">
        <v>1575</v>
      </c>
      <c r="M6" s="22">
        <f t="shared" si="3"/>
        <v>5.5594775855983061</v>
      </c>
      <c r="N6" s="22">
        <f>258+232+113</f>
        <v>603</v>
      </c>
      <c r="O6" s="22">
        <f t="shared" si="4"/>
        <v>2.1284857042004943</v>
      </c>
    </row>
    <row r="7" spans="1:15" ht="11.45" customHeight="1" x14ac:dyDescent="0.2">
      <c r="A7" s="1"/>
      <c r="B7" s="1">
        <v>43</v>
      </c>
      <c r="C7" s="1" t="s">
        <v>8</v>
      </c>
      <c r="D7" s="20" t="s">
        <v>141</v>
      </c>
      <c r="E7" s="72">
        <f>E5+E6</f>
        <v>61055</v>
      </c>
      <c r="F7" s="72">
        <f>F5+F6</f>
        <v>18270</v>
      </c>
      <c r="G7" s="72">
        <f t="shared" si="0"/>
        <v>29.923839161411841</v>
      </c>
      <c r="H7" s="72">
        <f>H5+H6</f>
        <v>18511</v>
      </c>
      <c r="I7" s="72">
        <f t="shared" si="1"/>
        <v>30.318565228073048</v>
      </c>
      <c r="J7" s="72">
        <f>J5+J6</f>
        <v>19739</v>
      </c>
      <c r="K7" s="72">
        <f t="shared" si="2"/>
        <v>32.329866513799033</v>
      </c>
      <c r="L7" s="72">
        <f>L5+L6</f>
        <v>3513</v>
      </c>
      <c r="M7" s="72">
        <f t="shared" si="3"/>
        <v>5.7538285152731143</v>
      </c>
      <c r="N7" s="72">
        <f>N5+N6</f>
        <v>1022</v>
      </c>
      <c r="O7" s="72">
        <f t="shared" si="4"/>
        <v>1.6739005814429613</v>
      </c>
    </row>
    <row r="8" spans="1:15" ht="11.45" customHeight="1" x14ac:dyDescent="0.2">
      <c r="A8" s="1">
        <v>24</v>
      </c>
      <c r="B8" s="1"/>
      <c r="C8" s="1"/>
      <c r="D8" s="15" t="s">
        <v>142</v>
      </c>
      <c r="E8" s="22">
        <f>F8+H8+J8+L8+N8</f>
        <v>36044</v>
      </c>
      <c r="F8" s="22">
        <v>17901</v>
      </c>
      <c r="G8" s="22">
        <f t="shared" si="0"/>
        <v>49.664299189879038</v>
      </c>
      <c r="H8" s="22">
        <v>8257</v>
      </c>
      <c r="I8" s="22">
        <f t="shared" si="1"/>
        <v>22.908112307180112</v>
      </c>
      <c r="J8" s="22">
        <v>7291</v>
      </c>
      <c r="K8" s="22">
        <f t="shared" si="2"/>
        <v>20.228054599933415</v>
      </c>
      <c r="L8" s="22">
        <v>2059</v>
      </c>
      <c r="M8" s="22">
        <f t="shared" si="3"/>
        <v>5.7124625457773828</v>
      </c>
      <c r="N8" s="22">
        <f>199+174+105+58</f>
        <v>536</v>
      </c>
      <c r="O8" s="22">
        <f t="shared" si="4"/>
        <v>1.4870713572300522</v>
      </c>
    </row>
    <row r="9" spans="1:15" ht="11.45" customHeight="1" x14ac:dyDescent="0.2">
      <c r="A9" s="1">
        <v>9</v>
      </c>
      <c r="B9" s="1"/>
      <c r="C9" s="1"/>
      <c r="D9" s="17" t="s">
        <v>143</v>
      </c>
      <c r="E9" s="22">
        <f>F9+H9+J9+L9+N9</f>
        <v>30614</v>
      </c>
      <c r="F9" s="22">
        <v>8601</v>
      </c>
      <c r="G9" s="22">
        <f t="shared" si="0"/>
        <v>28.094989220618018</v>
      </c>
      <c r="H9" s="22">
        <v>11891</v>
      </c>
      <c r="I9" s="22">
        <f t="shared" si="1"/>
        <v>38.841706408832557</v>
      </c>
      <c r="J9" s="22">
        <v>7035</v>
      </c>
      <c r="K9" s="22">
        <f t="shared" si="2"/>
        <v>22.979682498203438</v>
      </c>
      <c r="L9" s="22">
        <v>2106</v>
      </c>
      <c r="M9" s="22">
        <f t="shared" si="3"/>
        <v>6.8792055922127133</v>
      </c>
      <c r="N9" s="22">
        <f>337+278+177+111+78</f>
        <v>981</v>
      </c>
      <c r="O9" s="22">
        <f t="shared" si="4"/>
        <v>3.2044162801332723</v>
      </c>
    </row>
    <row r="10" spans="1:15" ht="11.45" customHeight="1" x14ac:dyDescent="0.2">
      <c r="A10" s="1"/>
      <c r="B10" s="1">
        <v>44</v>
      </c>
      <c r="C10" s="5" t="s">
        <v>5</v>
      </c>
      <c r="D10" s="15" t="s">
        <v>144</v>
      </c>
      <c r="E10" s="72">
        <f>E8+E9</f>
        <v>66658</v>
      </c>
      <c r="F10" s="72">
        <f>F8+F9</f>
        <v>26502</v>
      </c>
      <c r="G10" s="72">
        <f t="shared" si="0"/>
        <v>39.758168561913045</v>
      </c>
      <c r="H10" s="72">
        <f>H8+H9</f>
        <v>20148</v>
      </c>
      <c r="I10" s="72">
        <f t="shared" si="1"/>
        <v>30.225929370818207</v>
      </c>
      <c r="J10" s="72">
        <f>J8+J9</f>
        <v>14326</v>
      </c>
      <c r="K10" s="72">
        <f t="shared" si="2"/>
        <v>21.491793933211316</v>
      </c>
      <c r="L10" s="72">
        <f>L8+L9</f>
        <v>4165</v>
      </c>
      <c r="M10" s="72">
        <f t="shared" si="3"/>
        <v>6.2483122805964779</v>
      </c>
      <c r="N10" s="72">
        <f>N8+N9</f>
        <v>1517</v>
      </c>
      <c r="O10" s="72">
        <f t="shared" si="4"/>
        <v>2.2757958534609499</v>
      </c>
    </row>
    <row r="11" spans="1:15" ht="11.45" customHeight="1" x14ac:dyDescent="0.2">
      <c r="A11" s="1">
        <v>44</v>
      </c>
      <c r="B11" s="1"/>
      <c r="C11" s="1"/>
      <c r="D11" s="15" t="s">
        <v>145</v>
      </c>
      <c r="E11" s="22">
        <f>F11+H11+J11+L11+N11</f>
        <v>29049</v>
      </c>
      <c r="F11" s="22">
        <v>14116</v>
      </c>
      <c r="G11" s="22">
        <f t="shared" si="0"/>
        <v>48.593755378842644</v>
      </c>
      <c r="H11" s="22">
        <v>5893</v>
      </c>
      <c r="I11" s="22">
        <f t="shared" si="1"/>
        <v>20.28641261317085</v>
      </c>
      <c r="J11" s="22">
        <v>6875</v>
      </c>
      <c r="K11" s="22">
        <f t="shared" si="2"/>
        <v>23.666907638817172</v>
      </c>
      <c r="L11" s="22">
        <v>1474</v>
      </c>
      <c r="M11" s="22">
        <f t="shared" si="3"/>
        <v>5.0741849977624014</v>
      </c>
      <c r="N11" s="22">
        <f>301+277+113</f>
        <v>691</v>
      </c>
      <c r="O11" s="22">
        <f t="shared" si="4"/>
        <v>2.3787393714069331</v>
      </c>
    </row>
    <row r="12" spans="1:15" ht="11.45" customHeight="1" x14ac:dyDescent="0.2">
      <c r="A12" s="1">
        <v>45</v>
      </c>
      <c r="B12" s="1"/>
      <c r="C12" s="1"/>
      <c r="D12" s="20" t="s">
        <v>146</v>
      </c>
      <c r="E12" s="22">
        <f>F12+H12+J12+L12+N12</f>
        <v>32533</v>
      </c>
      <c r="F12" s="22">
        <v>8602</v>
      </c>
      <c r="G12" s="22">
        <f t="shared" si="0"/>
        <v>26.440844680785663</v>
      </c>
      <c r="H12" s="22">
        <v>10248</v>
      </c>
      <c r="I12" s="22">
        <f t="shared" si="1"/>
        <v>31.500322749208497</v>
      </c>
      <c r="J12" s="22">
        <v>11135</v>
      </c>
      <c r="K12" s="22">
        <f t="shared" si="2"/>
        <v>34.22678511050318</v>
      </c>
      <c r="L12" s="22">
        <v>2283</v>
      </c>
      <c r="M12" s="22">
        <f t="shared" si="3"/>
        <v>7.0174899332984966</v>
      </c>
      <c r="N12" s="22">
        <v>265</v>
      </c>
      <c r="O12" s="22">
        <f t="shared" si="4"/>
        <v>0.81455752620416189</v>
      </c>
    </row>
    <row r="13" spans="1:15" ht="11.45" customHeight="1" x14ac:dyDescent="0.2">
      <c r="A13" s="1"/>
      <c r="B13" s="1">
        <v>45</v>
      </c>
      <c r="C13" s="5" t="s">
        <v>5</v>
      </c>
      <c r="D13" s="15" t="s">
        <v>147</v>
      </c>
      <c r="E13" s="72">
        <f>E11+E12</f>
        <v>61582</v>
      </c>
      <c r="F13" s="72">
        <f>F11+F12</f>
        <v>22718</v>
      </c>
      <c r="G13" s="72">
        <f t="shared" si="0"/>
        <v>36.890649865220354</v>
      </c>
      <c r="H13" s="72">
        <f>H11+H12</f>
        <v>16141</v>
      </c>
      <c r="I13" s="72">
        <f t="shared" si="1"/>
        <v>26.210581013932643</v>
      </c>
      <c r="J13" s="72">
        <f>J11+J12</f>
        <v>18010</v>
      </c>
      <c r="K13" s="72">
        <f t="shared" si="2"/>
        <v>29.245558767172227</v>
      </c>
      <c r="L13" s="72">
        <f>L11+L12</f>
        <v>3757</v>
      </c>
      <c r="M13" s="72">
        <f t="shared" si="3"/>
        <v>6.1008086778604138</v>
      </c>
      <c r="N13" s="72">
        <f>N11+N12</f>
        <v>956</v>
      </c>
      <c r="O13" s="72">
        <f t="shared" si="4"/>
        <v>1.5524016758143613</v>
      </c>
    </row>
    <row r="14" spans="1:15" ht="11.45" customHeight="1" x14ac:dyDescent="0.2">
      <c r="A14" s="1"/>
      <c r="B14" s="1"/>
      <c r="C14" s="1"/>
      <c r="D14" s="20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 ht="11.45" customHeight="1" x14ac:dyDescent="0.2">
      <c r="A15" s="1"/>
      <c r="B15" s="1"/>
      <c r="C15" s="1"/>
      <c r="D15" s="20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 ht="11.45" customHeight="1" x14ac:dyDescent="0.2">
      <c r="A16" s="1"/>
      <c r="B16" s="1"/>
      <c r="C16" s="1"/>
      <c r="D16" s="20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ht="11.45" customHeight="1" x14ac:dyDescent="0.2"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 ht="11.45" customHeight="1" x14ac:dyDescent="0.2"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 ht="11.45" customHeight="1" x14ac:dyDescent="0.2"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 ht="11.45" customHeight="1" x14ac:dyDescent="0.2"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 ht="11.45" customHeight="1" x14ac:dyDescent="0.2">
      <c r="A21" s="39" t="s">
        <v>210</v>
      </c>
      <c r="B21" s="39"/>
      <c r="C21" s="39"/>
      <c r="D21" s="39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5" ht="11.45" customHeight="1" x14ac:dyDescent="0.2">
      <c r="A22" s="55" t="s">
        <v>231</v>
      </c>
      <c r="B22" s="39"/>
      <c r="C22" s="39"/>
      <c r="D22" s="39"/>
      <c r="E22" s="97">
        <v>6</v>
      </c>
      <c r="F22" s="97">
        <v>3</v>
      </c>
      <c r="G22" s="66"/>
      <c r="H22" s="21">
        <v>2</v>
      </c>
      <c r="I22" s="21"/>
      <c r="J22" s="21">
        <v>1</v>
      </c>
      <c r="K22" s="21"/>
      <c r="L22" s="21">
        <v>0</v>
      </c>
      <c r="M22" s="66"/>
      <c r="N22" s="66"/>
      <c r="O22" s="66"/>
    </row>
    <row r="23" spans="1:15" ht="11.45" customHeight="1" x14ac:dyDescent="0.2">
      <c r="A23" s="55" t="s">
        <v>232</v>
      </c>
      <c r="B23" s="39"/>
      <c r="C23" s="39"/>
      <c r="D23" s="39"/>
      <c r="E23" s="22">
        <f>E7+E10+E13+E16+E19</f>
        <v>189295</v>
      </c>
      <c r="F23" s="22">
        <f>F7+F10+F13+F16+F19</f>
        <v>67490</v>
      </c>
      <c r="G23" s="22">
        <f>F23*100/$E23</f>
        <v>35.653345307588687</v>
      </c>
      <c r="H23" s="22">
        <f>H7+H10+H13+H16+H19</f>
        <v>54800</v>
      </c>
      <c r="I23" s="22">
        <f>H23*100/$E23</f>
        <v>28.949523230935842</v>
      </c>
      <c r="J23" s="22">
        <f>J7+J10+J13+J16+J19</f>
        <v>52075</v>
      </c>
      <c r="K23" s="22">
        <f>J23*100/$E23</f>
        <v>27.509971208959559</v>
      </c>
      <c r="L23" s="22">
        <f>L7+L10+L13+L16+L19</f>
        <v>11435</v>
      </c>
      <c r="M23" s="22">
        <f>L23*100/$E23</f>
        <v>6.0408357325867037</v>
      </c>
      <c r="N23" s="22">
        <f>N7+N10+N13+N16+N19</f>
        <v>3495</v>
      </c>
      <c r="O23" s="22">
        <f>N23*100/$E23</f>
        <v>1.8463245199292111</v>
      </c>
    </row>
    <row r="24" spans="1:15" s="28" customFormat="1" ht="11.45" customHeight="1" x14ac:dyDescent="0.2">
      <c r="A24" s="55"/>
      <c r="B24" s="39"/>
      <c r="C24" s="39"/>
      <c r="D24" s="39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1:15" ht="11.45" customHeight="1" x14ac:dyDescent="0.2">
      <c r="A25" s="55" t="s">
        <v>241</v>
      </c>
      <c r="B25" s="39"/>
      <c r="C25" s="39"/>
      <c r="D25" s="39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1:15" ht="11.45" customHeight="1" x14ac:dyDescent="0.2">
      <c r="A26" s="38" t="s">
        <v>233</v>
      </c>
      <c r="B26" s="39"/>
      <c r="C26" s="39"/>
      <c r="D26" s="39"/>
      <c r="E26" s="38">
        <f>F26+H26+J26+L26+N26</f>
        <v>3</v>
      </c>
      <c r="F26" s="21">
        <v>2</v>
      </c>
      <c r="G26" s="66"/>
      <c r="H26" s="21">
        <v>0</v>
      </c>
      <c r="I26" s="66"/>
      <c r="J26" s="21">
        <v>1</v>
      </c>
      <c r="K26" s="66"/>
      <c r="L26" s="21">
        <v>0</v>
      </c>
      <c r="M26" s="66"/>
      <c r="N26" s="21">
        <v>0</v>
      </c>
      <c r="O26" s="66"/>
    </row>
    <row r="27" spans="1:15" ht="11.45" customHeight="1" x14ac:dyDescent="0.2">
      <c r="A27" s="38" t="s">
        <v>234</v>
      </c>
      <c r="B27" s="39"/>
      <c r="C27" s="39"/>
      <c r="D27" s="39"/>
      <c r="E27" s="38">
        <f>F27+H27+J27+L27+N27</f>
        <v>1</v>
      </c>
      <c r="F27" s="21"/>
      <c r="G27" s="66"/>
      <c r="H27" s="21">
        <v>1</v>
      </c>
      <c r="I27" s="66"/>
      <c r="J27" s="21"/>
      <c r="K27" s="66"/>
      <c r="L27" s="66"/>
      <c r="M27" s="66"/>
      <c r="N27" s="66"/>
      <c r="O27" s="66"/>
    </row>
    <row r="28" spans="1:15" ht="11.45" customHeight="1" x14ac:dyDescent="0.2">
      <c r="A28" s="38" t="s">
        <v>244</v>
      </c>
      <c r="B28" s="39"/>
      <c r="C28" s="39"/>
      <c r="D28" s="39"/>
      <c r="E28" s="38"/>
      <c r="F28" s="21"/>
      <c r="G28" s="66"/>
      <c r="H28" s="21"/>
      <c r="I28" s="66"/>
      <c r="J28" s="21"/>
      <c r="K28" s="66"/>
      <c r="L28" s="66"/>
      <c r="M28" s="66"/>
      <c r="N28" s="66"/>
      <c r="O28" s="66"/>
    </row>
    <row r="29" spans="1:15" ht="11.45" customHeight="1" x14ac:dyDescent="0.2">
      <c r="A29" s="38" t="s">
        <v>237</v>
      </c>
      <c r="B29" s="38"/>
      <c r="C29" s="38"/>
      <c r="D29" s="38"/>
      <c r="E29" s="38"/>
      <c r="F29" s="21"/>
      <c r="G29" s="21">
        <f>2*16.67</f>
        <v>33.340000000000003</v>
      </c>
      <c r="H29" s="21"/>
      <c r="I29" s="21">
        <f>1*16.67</f>
        <v>16.670000000000002</v>
      </c>
      <c r="J29" s="21"/>
      <c r="K29" s="21">
        <f>1*16.67</f>
        <v>16.670000000000002</v>
      </c>
      <c r="L29" s="21"/>
      <c r="M29" s="21"/>
      <c r="N29" s="21"/>
      <c r="O29" s="21"/>
    </row>
    <row r="30" spans="1:15" ht="11.45" customHeight="1" x14ac:dyDescent="0.2">
      <c r="A30" s="38" t="s">
        <v>255</v>
      </c>
      <c r="B30" s="39"/>
      <c r="C30" s="39"/>
      <c r="D30" s="39"/>
      <c r="E30" s="38"/>
      <c r="F30" s="21"/>
      <c r="G30" s="21">
        <f>G23-G29</f>
        <v>2.3133453075886834</v>
      </c>
      <c r="H30" s="21"/>
      <c r="I30" s="21">
        <f>I23-I29</f>
        <v>12.27952323093584</v>
      </c>
      <c r="J30" s="21"/>
      <c r="K30" s="21">
        <f>K23-K29</f>
        <v>10.839971208959557</v>
      </c>
      <c r="L30" s="66"/>
      <c r="M30" s="21">
        <f>M23-M29</f>
        <v>6.0408357325867037</v>
      </c>
      <c r="N30" s="21"/>
      <c r="O30" s="21">
        <f>O23-O29</f>
        <v>1.8463245199292111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2</v>
      </c>
      <c r="F31" s="53"/>
      <c r="G31" s="53"/>
      <c r="H31" s="53">
        <v>1</v>
      </c>
      <c r="I31" s="53"/>
      <c r="J31" s="53">
        <v>1</v>
      </c>
      <c r="K31" s="52"/>
      <c r="L31" s="53"/>
      <c r="M31" s="52"/>
      <c r="N31" s="52"/>
      <c r="O31" s="52"/>
    </row>
    <row r="32" spans="1:15" ht="11.45" customHeight="1" x14ac:dyDescent="0.2">
      <c r="A32" s="38" t="s">
        <v>239</v>
      </c>
      <c r="B32" s="39"/>
      <c r="C32" s="39"/>
      <c r="D32" s="39"/>
      <c r="E32" s="54">
        <f>E26+E27+E31</f>
        <v>6</v>
      </c>
      <c r="F32" s="21">
        <f>F26+F27+F31</f>
        <v>2</v>
      </c>
      <c r="G32" s="21">
        <f t="shared" ref="G32:O32" si="5">G26+G27+G31</f>
        <v>0</v>
      </c>
      <c r="H32" s="21">
        <f t="shared" si="5"/>
        <v>2</v>
      </c>
      <c r="I32" s="21">
        <f t="shared" si="5"/>
        <v>0</v>
      </c>
      <c r="J32" s="21">
        <f t="shared" si="5"/>
        <v>2</v>
      </c>
      <c r="K32" s="21">
        <f t="shared" si="5"/>
        <v>0</v>
      </c>
      <c r="L32" s="21">
        <f t="shared" si="5"/>
        <v>0</v>
      </c>
      <c r="M32" s="21">
        <f t="shared" si="5"/>
        <v>0</v>
      </c>
      <c r="N32" s="21">
        <f t="shared" si="5"/>
        <v>0</v>
      </c>
      <c r="O32" s="21">
        <f t="shared" si="5"/>
        <v>0</v>
      </c>
    </row>
    <row r="33" spans="1:15" ht="11.45" customHeight="1" x14ac:dyDescent="0.2">
      <c r="A33" s="38" t="s">
        <v>245</v>
      </c>
      <c r="B33" s="39"/>
      <c r="C33" s="39"/>
      <c r="D33" s="39"/>
      <c r="E33" s="99">
        <f>G33+I33+K33+M33</f>
        <v>89.740000000000009</v>
      </c>
      <c r="F33" s="21"/>
      <c r="G33" s="21">
        <v>33.340000000000003</v>
      </c>
      <c r="H33" s="21"/>
      <c r="I33" s="21">
        <v>28.9</v>
      </c>
      <c r="J33" s="21"/>
      <c r="K33" s="21">
        <v>27.5</v>
      </c>
      <c r="L33" s="21"/>
      <c r="M33" s="21">
        <v>0</v>
      </c>
      <c r="N33" s="21"/>
      <c r="O33" s="21"/>
    </row>
    <row r="34" spans="1:15" ht="11.45" customHeight="1" x14ac:dyDescent="0.2">
      <c r="A34" s="38" t="s">
        <v>314</v>
      </c>
      <c r="B34" s="39"/>
      <c r="C34" s="39"/>
      <c r="D34" s="39"/>
      <c r="E34" s="98">
        <f>F34+H34+J34+L34</f>
        <v>169873.33300000001</v>
      </c>
      <c r="F34" s="21">
        <f>G33*$E23/100</f>
        <v>63110.953000000009</v>
      </c>
      <c r="G34" s="21"/>
      <c r="H34" s="21">
        <f>I33*$E23/100</f>
        <v>54706.254999999997</v>
      </c>
      <c r="I34" s="21"/>
      <c r="J34" s="21">
        <f>K33*$E23/100</f>
        <v>52056.125</v>
      </c>
      <c r="K34" s="21"/>
      <c r="L34" s="21">
        <f>M33*$E23/100</f>
        <v>0</v>
      </c>
      <c r="M34" s="21"/>
      <c r="N34" s="21">
        <f>O33*$E23/100</f>
        <v>0</v>
      </c>
      <c r="O34" s="21"/>
    </row>
    <row r="35" spans="1:15" ht="11.45" customHeight="1" x14ac:dyDescent="0.2">
      <c r="A35" s="79" t="s">
        <v>313</v>
      </c>
      <c r="B35" s="80"/>
      <c r="C35" s="80"/>
      <c r="D35" s="80"/>
      <c r="E35" s="100">
        <v>0.89700000000000002</v>
      </c>
      <c r="F35" s="21"/>
      <c r="G35" s="100">
        <v>0.33300000000000002</v>
      </c>
      <c r="H35" s="21"/>
      <c r="I35" s="100">
        <v>0.28899999999999998</v>
      </c>
      <c r="J35" s="21"/>
      <c r="K35" s="100">
        <v>0.27500000000000002</v>
      </c>
      <c r="L35" s="21"/>
      <c r="M35" s="21"/>
      <c r="N35" s="21"/>
      <c r="O35" s="21"/>
    </row>
    <row r="36" spans="1:15" ht="11.45" customHeight="1" x14ac:dyDescent="0.2">
      <c r="A36" s="81" t="s">
        <v>312</v>
      </c>
      <c r="B36" s="82"/>
      <c r="C36" s="82"/>
      <c r="D36" s="82"/>
      <c r="E36" s="74" t="s">
        <v>285</v>
      </c>
      <c r="F36" s="21"/>
      <c r="G36" s="74" t="s">
        <v>284</v>
      </c>
      <c r="H36" s="21"/>
      <c r="I36" s="74" t="s">
        <v>283</v>
      </c>
      <c r="J36" s="65"/>
      <c r="K36" s="74" t="s">
        <v>282</v>
      </c>
      <c r="L36" s="21"/>
      <c r="M36" s="74" t="s">
        <v>260</v>
      </c>
      <c r="N36" s="21"/>
      <c r="O36" s="75" t="s">
        <v>260</v>
      </c>
    </row>
    <row r="37" spans="1:15" ht="11.45" customHeight="1" x14ac:dyDescent="0.2">
      <c r="A37" s="38" t="s">
        <v>240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66"/>
      <c r="M37" s="66"/>
      <c r="N37" s="66"/>
      <c r="O37" s="66"/>
    </row>
    <row r="38" spans="1:15" ht="11.45" customHeight="1" x14ac:dyDescent="0.2">
      <c r="A38" s="38" t="s">
        <v>252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66"/>
      <c r="M38" s="66"/>
      <c r="N38" s="66"/>
      <c r="O38" s="66"/>
    </row>
    <row r="39" spans="1:15" ht="11.45" customHeight="1" x14ac:dyDescent="0.2">
      <c r="A39" s="61" t="s">
        <v>276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11.45" customHeight="1" x14ac:dyDescent="0.2">
      <c r="A40" s="38" t="s">
        <v>253</v>
      </c>
      <c r="E40" s="28">
        <f>F40+H40+J40+L40+N40</f>
        <v>76095</v>
      </c>
      <c r="F40" s="28">
        <f>F5+F8+F11</f>
        <v>43129</v>
      </c>
      <c r="G40" s="28">
        <f>F40*100/$E23</f>
        <v>22.784014369106423</v>
      </c>
      <c r="H40" s="28">
        <f>H6+H9</f>
        <v>21831</v>
      </c>
      <c r="I40" s="28">
        <f>H40*100/$E23</f>
        <v>11.532792730922633</v>
      </c>
      <c r="J40" s="28">
        <f>J12</f>
        <v>11135</v>
      </c>
      <c r="K40" s="28">
        <f>J40*100/$E23</f>
        <v>5.882352941176471</v>
      </c>
      <c r="L40" s="28">
        <v>0</v>
      </c>
      <c r="M40" s="28">
        <f>L40*100/$E23</f>
        <v>0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E41" s="95" t="s">
        <v>285</v>
      </c>
      <c r="F41" s="83"/>
      <c r="G41" s="95" t="s">
        <v>284</v>
      </c>
      <c r="H41" s="83"/>
      <c r="I41" s="95" t="s">
        <v>283</v>
      </c>
      <c r="J41" s="83"/>
      <c r="K41" s="57" t="s">
        <v>282</v>
      </c>
      <c r="L41" s="28"/>
      <c r="M41" s="95" t="s">
        <v>260</v>
      </c>
      <c r="N41" s="28"/>
      <c r="O41" s="95" t="s">
        <v>260</v>
      </c>
    </row>
  </sheetData>
  <sheetProtection selectLockedCells="1" selectUnlockedCells="1"/>
  <pageMargins left="0.78740157480314965" right="0.78740157480314965" top="1.0629921259842521" bottom="1.0629921259842521" header="0.78740157480314965" footer="0.78740157480314965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50" zoomScaleNormal="150" workbookViewId="0">
      <pane ySplit="4" topLeftCell="A5" activePane="bottomLeft" state="frozen"/>
      <selection pane="bottomLeft" activeCell="E33" sqref="E33"/>
    </sheetView>
  </sheetViews>
  <sheetFormatPr defaultColWidth="11.5703125" defaultRowHeight="11.45" customHeight="1" x14ac:dyDescent="0.2"/>
  <cols>
    <col min="1" max="1" width="5.5703125" customWidth="1"/>
    <col min="2" max="3" width="5.140625" customWidth="1"/>
    <col min="4" max="4" width="13" customWidth="1"/>
    <col min="5" max="5" width="6" customWidth="1"/>
    <col min="6" max="6" width="6.28515625" customWidth="1"/>
    <col min="7" max="8" width="5" customWidth="1"/>
    <col min="9" max="9" width="5.7109375" customWidth="1"/>
    <col min="10" max="15" width="5" customWidth="1"/>
  </cols>
  <sheetData>
    <row r="1" spans="1:15" ht="12.75" customHeight="1" x14ac:dyDescent="0.2">
      <c r="A1" t="s">
        <v>331</v>
      </c>
    </row>
    <row r="2" spans="1:15" ht="12.75" customHeight="1" x14ac:dyDescent="0.2">
      <c r="A2" s="35" t="s">
        <v>225</v>
      </c>
    </row>
    <row r="3" spans="1:15" ht="12.75" customHeight="1" x14ac:dyDescent="0.2">
      <c r="E3" s="35" t="s">
        <v>205</v>
      </c>
    </row>
    <row r="4" spans="1:15" ht="12.75" customHeight="1" x14ac:dyDescent="0.2">
      <c r="A4" s="36" t="s">
        <v>206</v>
      </c>
      <c r="B4" s="36" t="s">
        <v>207</v>
      </c>
      <c r="C4" s="36" t="s">
        <v>208</v>
      </c>
      <c r="D4" s="37" t="s">
        <v>209</v>
      </c>
      <c r="E4" s="6" t="s">
        <v>4</v>
      </c>
      <c r="F4" s="7" t="s">
        <v>5</v>
      </c>
      <c r="G4" s="7" t="s">
        <v>6</v>
      </c>
      <c r="H4" s="8" t="s">
        <v>7</v>
      </c>
      <c r="I4" s="8" t="s">
        <v>6</v>
      </c>
      <c r="J4" s="9" t="s">
        <v>8</v>
      </c>
      <c r="K4" s="9" t="s">
        <v>6</v>
      </c>
      <c r="L4" s="10" t="s">
        <v>9</v>
      </c>
      <c r="M4" s="10" t="s">
        <v>6</v>
      </c>
      <c r="N4" s="6" t="s">
        <v>10</v>
      </c>
      <c r="O4" s="6" t="s">
        <v>6</v>
      </c>
    </row>
    <row r="5" spans="1:15" ht="11.45" customHeight="1" x14ac:dyDescent="0.2">
      <c r="A5" s="22">
        <v>112</v>
      </c>
      <c r="B5" s="22"/>
      <c r="C5" s="22"/>
      <c r="D5" s="23" t="s">
        <v>149</v>
      </c>
      <c r="E5" s="1">
        <f>F5+H5+J5+L5+N5</f>
        <v>35197</v>
      </c>
      <c r="F5" s="22">
        <v>19331</v>
      </c>
      <c r="G5" s="1">
        <f t="shared" ref="G5:G13" si="0">F5*100/$E5</f>
        <v>54.922294513736965</v>
      </c>
      <c r="H5" s="22">
        <v>11002</v>
      </c>
      <c r="I5" s="1">
        <f t="shared" ref="I5:I13" si="1">H5*100/$E5</f>
        <v>31.258345881751286</v>
      </c>
      <c r="J5" s="22">
        <v>0</v>
      </c>
      <c r="K5" s="1">
        <f t="shared" ref="K5:K13" si="2">J5*100/$E5</f>
        <v>0</v>
      </c>
      <c r="L5" s="22">
        <v>3425</v>
      </c>
      <c r="M5" s="1">
        <f t="shared" ref="M5:M13" si="3">L5*100/$E5</f>
        <v>9.7309429780947241</v>
      </c>
      <c r="N5" s="22">
        <f>961+478</f>
        <v>1439</v>
      </c>
      <c r="O5" s="1">
        <f t="shared" ref="O5:O13" si="4">N5*100/$E5</f>
        <v>4.0884166264170245</v>
      </c>
    </row>
    <row r="6" spans="1:15" ht="11.45" customHeight="1" x14ac:dyDescent="0.2">
      <c r="A6" s="1">
        <v>120</v>
      </c>
      <c r="B6" s="1"/>
      <c r="C6" s="1"/>
      <c r="D6" s="15" t="s">
        <v>150</v>
      </c>
      <c r="E6" s="1">
        <f>F6+H6+J6+L6+N6</f>
        <v>45338</v>
      </c>
      <c r="F6" s="1">
        <v>27750</v>
      </c>
      <c r="G6" s="1">
        <f t="shared" si="0"/>
        <v>61.206934580263798</v>
      </c>
      <c r="H6" s="1">
        <v>7238</v>
      </c>
      <c r="I6" s="1">
        <f t="shared" si="1"/>
        <v>15.964533062772951</v>
      </c>
      <c r="J6" s="1">
        <v>7074</v>
      </c>
      <c r="K6" s="1">
        <f t="shared" si="2"/>
        <v>15.602805593541841</v>
      </c>
      <c r="L6" s="1">
        <v>2101</v>
      </c>
      <c r="M6" s="1">
        <f t="shared" si="3"/>
        <v>4.6340817856985312</v>
      </c>
      <c r="N6" s="1">
        <f>584+196+190+115+90</f>
        <v>1175</v>
      </c>
      <c r="O6" s="1">
        <f t="shared" si="4"/>
        <v>2.5916449777228814</v>
      </c>
    </row>
    <row r="7" spans="1:15" ht="11.45" customHeight="1" x14ac:dyDescent="0.2">
      <c r="A7" s="1"/>
      <c r="B7" s="1">
        <v>46</v>
      </c>
      <c r="C7" s="5" t="s">
        <v>5</v>
      </c>
      <c r="D7" s="15" t="s">
        <v>151</v>
      </c>
      <c r="E7" s="16">
        <f>E5+E6</f>
        <v>80535</v>
      </c>
      <c r="F7" s="16">
        <f>F5+F6</f>
        <v>47081</v>
      </c>
      <c r="G7" s="16">
        <f t="shared" si="0"/>
        <v>58.460296765381514</v>
      </c>
      <c r="H7" s="16">
        <f>H5+H6</f>
        <v>18240</v>
      </c>
      <c r="I7" s="16">
        <f t="shared" si="1"/>
        <v>22.648537902775193</v>
      </c>
      <c r="J7" s="16">
        <f>J5+J6</f>
        <v>7074</v>
      </c>
      <c r="K7" s="16">
        <f t="shared" si="2"/>
        <v>8.7837586142670894</v>
      </c>
      <c r="L7" s="16">
        <f>L5+L6</f>
        <v>5526</v>
      </c>
      <c r="M7" s="16">
        <f t="shared" si="3"/>
        <v>6.8616129633078788</v>
      </c>
      <c r="N7" s="16">
        <f>N5+N6</f>
        <v>2614</v>
      </c>
      <c r="O7" s="16">
        <f t="shared" si="4"/>
        <v>3.2457937542683304</v>
      </c>
    </row>
    <row r="8" spans="1:15" ht="11.45" customHeight="1" x14ac:dyDescent="0.2">
      <c r="A8" s="1">
        <v>47</v>
      </c>
      <c r="B8" s="1"/>
      <c r="C8" s="1"/>
      <c r="D8" s="15" t="s">
        <v>152</v>
      </c>
      <c r="E8" s="1">
        <f>F8+H8+J8+L8+N8</f>
        <v>37170</v>
      </c>
      <c r="F8" s="1">
        <v>30823</v>
      </c>
      <c r="G8" s="1">
        <f t="shared" si="0"/>
        <v>82.924401398977665</v>
      </c>
      <c r="H8" s="1">
        <v>1079</v>
      </c>
      <c r="I8" s="1">
        <f t="shared" si="1"/>
        <v>2.9028786655905301</v>
      </c>
      <c r="J8" s="1">
        <v>2128</v>
      </c>
      <c r="K8" s="1">
        <f t="shared" si="2"/>
        <v>5.7250470809792846</v>
      </c>
      <c r="L8" s="1">
        <f>855+232</f>
        <v>1087</v>
      </c>
      <c r="M8" s="1">
        <f t="shared" si="3"/>
        <v>2.92440139897767</v>
      </c>
      <c r="N8" s="1">
        <f>966+855+232</f>
        <v>2053</v>
      </c>
      <c r="O8" s="1">
        <f t="shared" si="4"/>
        <v>5.5232714554748457</v>
      </c>
    </row>
    <row r="9" spans="1:15" ht="11.45" customHeight="1" x14ac:dyDescent="0.2">
      <c r="A9" s="1">
        <v>81</v>
      </c>
      <c r="B9" s="1"/>
      <c r="C9" s="1"/>
      <c r="D9" s="15" t="s">
        <v>153</v>
      </c>
      <c r="E9" s="1">
        <f>F9+H9+J9+L9+N9</f>
        <v>44374</v>
      </c>
      <c r="F9" s="16">
        <v>36494</v>
      </c>
      <c r="G9" s="1">
        <f t="shared" si="0"/>
        <v>82.241853337540007</v>
      </c>
      <c r="H9" s="16">
        <v>3153</v>
      </c>
      <c r="I9" s="1">
        <f t="shared" si="1"/>
        <v>7.1055122368954793</v>
      </c>
      <c r="J9" s="16">
        <v>4303</v>
      </c>
      <c r="K9" s="1">
        <f t="shared" si="2"/>
        <v>9.6971199350971293</v>
      </c>
      <c r="L9" s="16">
        <v>0</v>
      </c>
      <c r="M9" s="1">
        <f t="shared" si="3"/>
        <v>0</v>
      </c>
      <c r="N9" s="16">
        <f>255+169</f>
        <v>424</v>
      </c>
      <c r="O9" s="1">
        <f t="shared" si="4"/>
        <v>0.95551449046739079</v>
      </c>
    </row>
    <row r="10" spans="1:15" ht="11.45" customHeight="1" x14ac:dyDescent="0.2">
      <c r="A10" s="1"/>
      <c r="B10" s="1">
        <v>47</v>
      </c>
      <c r="C10" s="5" t="s">
        <v>5</v>
      </c>
      <c r="D10" s="15" t="s">
        <v>154</v>
      </c>
      <c r="E10" s="16">
        <f>E8+E9</f>
        <v>81544</v>
      </c>
      <c r="F10" s="16">
        <f>F8+F9</f>
        <v>67317</v>
      </c>
      <c r="G10" s="16">
        <f t="shared" si="0"/>
        <v>82.552977533601492</v>
      </c>
      <c r="H10" s="16">
        <f>H8+H9</f>
        <v>4232</v>
      </c>
      <c r="I10" s="16">
        <f t="shared" si="1"/>
        <v>5.1898361620720106</v>
      </c>
      <c r="J10" s="16">
        <f>J8+J9</f>
        <v>6431</v>
      </c>
      <c r="K10" s="16">
        <f t="shared" si="2"/>
        <v>7.8865397822034726</v>
      </c>
      <c r="L10" s="16">
        <f>L8+L9</f>
        <v>1087</v>
      </c>
      <c r="M10" s="16">
        <f t="shared" si="3"/>
        <v>1.3330226626115962</v>
      </c>
      <c r="N10" s="16">
        <f>N8+N9</f>
        <v>2477</v>
      </c>
      <c r="O10" s="16">
        <f t="shared" si="4"/>
        <v>3.0376238595114295</v>
      </c>
    </row>
    <row r="11" spans="1:15" ht="11.45" customHeight="1" x14ac:dyDescent="0.2">
      <c r="A11" s="1">
        <v>96</v>
      </c>
      <c r="B11" s="1"/>
      <c r="C11" s="1"/>
      <c r="D11" s="15" t="s">
        <v>155</v>
      </c>
      <c r="E11" s="1">
        <f>F11+H11+J11+L11+N11</f>
        <v>42115</v>
      </c>
      <c r="F11" s="1">
        <v>36746</v>
      </c>
      <c r="G11" s="1">
        <f t="shared" si="0"/>
        <v>87.251573073726703</v>
      </c>
      <c r="H11" s="1">
        <v>1561</v>
      </c>
      <c r="I11" s="1">
        <f t="shared" si="1"/>
        <v>3.7065178677430843</v>
      </c>
      <c r="J11" s="1">
        <v>2164</v>
      </c>
      <c r="K11" s="1">
        <f t="shared" si="2"/>
        <v>5.1383117654042501</v>
      </c>
      <c r="L11" s="1">
        <v>796</v>
      </c>
      <c r="M11" s="1">
        <f t="shared" si="3"/>
        <v>1.890062922949068</v>
      </c>
      <c r="N11" s="1">
        <f>606+146+96</f>
        <v>848</v>
      </c>
      <c r="O11" s="1">
        <f t="shared" si="4"/>
        <v>2.0135343701768966</v>
      </c>
    </row>
    <row r="12" spans="1:15" ht="11.45" customHeight="1" x14ac:dyDescent="0.2">
      <c r="A12" s="1">
        <v>70</v>
      </c>
      <c r="B12" s="1"/>
      <c r="C12" s="1"/>
      <c r="D12" s="15" t="s">
        <v>156</v>
      </c>
      <c r="E12" s="1">
        <f>F12+H12+J12+L12+N12</f>
        <v>32542</v>
      </c>
      <c r="F12" s="1">
        <v>20342</v>
      </c>
      <c r="G12" s="1">
        <f t="shared" si="0"/>
        <v>62.509987093602113</v>
      </c>
      <c r="H12" s="1">
        <v>4724</v>
      </c>
      <c r="I12" s="1">
        <f t="shared" si="1"/>
        <v>14.516624669657674</v>
      </c>
      <c r="J12" s="1">
        <v>4358</v>
      </c>
      <c r="K12" s="1">
        <f t="shared" si="2"/>
        <v>13.391924282465737</v>
      </c>
      <c r="L12" s="1">
        <v>1919</v>
      </c>
      <c r="M12" s="1">
        <f t="shared" si="3"/>
        <v>5.8969946530637332</v>
      </c>
      <c r="N12" s="1">
        <f>675+195+178+151</f>
        <v>1199</v>
      </c>
      <c r="O12" s="1">
        <f t="shared" si="4"/>
        <v>3.684469301210743</v>
      </c>
    </row>
    <row r="13" spans="1:15" ht="11.45" customHeight="1" x14ac:dyDescent="0.2">
      <c r="A13" s="1"/>
      <c r="B13" s="1">
        <v>48</v>
      </c>
      <c r="C13" s="5" t="s">
        <v>5</v>
      </c>
      <c r="D13" s="15" t="s">
        <v>157</v>
      </c>
      <c r="E13" s="16">
        <f>E11+E12</f>
        <v>74657</v>
      </c>
      <c r="F13" s="16">
        <f>F11+F12</f>
        <v>57088</v>
      </c>
      <c r="G13" s="16">
        <f t="shared" si="0"/>
        <v>76.467042608194816</v>
      </c>
      <c r="H13" s="16">
        <f>H11+H12</f>
        <v>6285</v>
      </c>
      <c r="I13" s="16">
        <f t="shared" si="1"/>
        <v>8.4185006094539023</v>
      </c>
      <c r="J13" s="16">
        <f>J11+J12</f>
        <v>6522</v>
      </c>
      <c r="K13" s="16">
        <f t="shared" si="2"/>
        <v>8.7359524224118292</v>
      </c>
      <c r="L13" s="16">
        <f>L11+L12</f>
        <v>2715</v>
      </c>
      <c r="M13" s="16">
        <f t="shared" si="3"/>
        <v>3.6366315281889174</v>
      </c>
      <c r="N13" s="16">
        <f>N11+N12</f>
        <v>2047</v>
      </c>
      <c r="O13" s="16">
        <f t="shared" si="4"/>
        <v>2.741872831750539</v>
      </c>
    </row>
    <row r="14" spans="1:15" ht="11.45" customHeight="1" x14ac:dyDescent="0.2">
      <c r="A14" s="1"/>
      <c r="B14" s="1"/>
      <c r="C14" s="1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11.45" customHeight="1" x14ac:dyDescent="0.2">
      <c r="A15" s="1"/>
      <c r="B15" s="1"/>
      <c r="C15" s="1"/>
      <c r="D15" s="20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1.45" customHeight="1" x14ac:dyDescent="0.2">
      <c r="A16" s="1"/>
      <c r="B16" s="1"/>
      <c r="C16" s="1"/>
      <c r="D16" s="20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20" spans="1:15" ht="11.45" customHeight="1" x14ac:dyDescent="0.2">
      <c r="E20" s="1">
        <f>E7+E10+E13+E16+E19</f>
        <v>236736</v>
      </c>
      <c r="F20" s="1">
        <f>F7+F10+F13+F16+F19</f>
        <v>171486</v>
      </c>
      <c r="G20" s="1">
        <f>F20*100/$E20</f>
        <v>72.437652068126525</v>
      </c>
      <c r="H20" s="1">
        <f>H7+H10+H13+H16+H19</f>
        <v>28757</v>
      </c>
      <c r="I20" s="1">
        <f>H20*100/$E20</f>
        <v>12.147286428764531</v>
      </c>
      <c r="J20" s="1">
        <f>J7+J10+J13+J16+J19</f>
        <v>20027</v>
      </c>
      <c r="K20" s="1">
        <f>J20*100/$E20</f>
        <v>8.4596343606380096</v>
      </c>
      <c r="L20" s="1">
        <f>L7+L10+L13+L16+L19</f>
        <v>9328</v>
      </c>
      <c r="M20" s="1">
        <f>L20*100/$E20</f>
        <v>3.9402541227358747</v>
      </c>
      <c r="N20" s="1">
        <f>N7+N10+N13+N16+N19</f>
        <v>7138</v>
      </c>
      <c r="O20" s="1">
        <f>N20*100/$E20</f>
        <v>3.0151730197350637</v>
      </c>
    </row>
    <row r="21" spans="1:15" ht="11.45" customHeight="1" x14ac:dyDescent="0.2">
      <c r="A21" s="39" t="s">
        <v>210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11.45" customHeight="1" x14ac:dyDescent="0.2">
      <c r="A22" s="55" t="s">
        <v>231</v>
      </c>
      <c r="B22" s="39"/>
      <c r="C22" s="39"/>
      <c r="D22" s="39"/>
      <c r="E22" s="51">
        <v>6</v>
      </c>
      <c r="F22" s="51">
        <v>6</v>
      </c>
      <c r="G22" s="39"/>
      <c r="H22" s="38">
        <v>0</v>
      </c>
      <c r="I22" s="38"/>
      <c r="J22" s="38">
        <v>0</v>
      </c>
      <c r="K22" s="38"/>
      <c r="L22" s="38">
        <v>0</v>
      </c>
      <c r="M22" s="39"/>
      <c r="N22" s="39"/>
      <c r="O22" s="39"/>
    </row>
    <row r="23" spans="1:15" ht="11.45" customHeight="1" x14ac:dyDescent="0.2">
      <c r="A23" s="55" t="s">
        <v>232</v>
      </c>
      <c r="B23" s="39"/>
      <c r="C23" s="39"/>
      <c r="D23" s="39"/>
      <c r="E23" s="1">
        <f>E7+E10+E13+E16+E19</f>
        <v>236736</v>
      </c>
      <c r="F23" s="1">
        <f>F7+F10+F13+F16+F19</f>
        <v>171486</v>
      </c>
      <c r="G23" s="1">
        <f>F23*100/$E23</f>
        <v>72.437652068126525</v>
      </c>
      <c r="H23" s="1">
        <f>H7+H10+H13+H16+H19</f>
        <v>28757</v>
      </c>
      <c r="I23" s="1">
        <f>H23*100/$E23</f>
        <v>12.147286428764531</v>
      </c>
      <c r="J23" s="1">
        <f>J7+J10+J13+J16+J19</f>
        <v>20027</v>
      </c>
      <c r="K23" s="1">
        <f>J23*100/$E23</f>
        <v>8.4596343606380096</v>
      </c>
      <c r="L23" s="1">
        <f>L7+L10+L13+L16+L19</f>
        <v>9328</v>
      </c>
      <c r="M23" s="1">
        <f>L23*100/$E23</f>
        <v>3.9402541227358747</v>
      </c>
      <c r="N23" s="1">
        <f>N7+N10+N13+N16+N19</f>
        <v>7138</v>
      </c>
      <c r="O23" s="1">
        <f>N23*100/$E23</f>
        <v>3.0151730197350637</v>
      </c>
    </row>
    <row r="24" spans="1:15" s="28" customFormat="1" ht="11.45" customHeight="1" x14ac:dyDescent="0.2">
      <c r="A24" s="55"/>
      <c r="B24" s="39"/>
      <c r="C24" s="39"/>
      <c r="D24" s="3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11.45" customHeight="1" x14ac:dyDescent="0.2">
      <c r="A25" s="55" t="s">
        <v>241</v>
      </c>
      <c r="B25" s="39"/>
      <c r="C25" s="39"/>
      <c r="D25" s="3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1.45" customHeight="1" x14ac:dyDescent="0.2">
      <c r="A26" s="38" t="s">
        <v>233</v>
      </c>
      <c r="B26" s="39"/>
      <c r="C26" s="39"/>
      <c r="D26" s="39"/>
      <c r="E26" s="38">
        <f>F26+H26+J26+L26+N26</f>
        <v>3</v>
      </c>
      <c r="F26" s="38">
        <v>3</v>
      </c>
      <c r="G26" s="39"/>
      <c r="H26" s="38">
        <v>0</v>
      </c>
      <c r="I26" s="39"/>
      <c r="J26" s="38">
        <v>0</v>
      </c>
      <c r="K26" s="39"/>
      <c r="L26" s="38">
        <v>0</v>
      </c>
      <c r="M26" s="39"/>
      <c r="N26" s="38">
        <v>0</v>
      </c>
      <c r="O26" s="39"/>
    </row>
    <row r="27" spans="1:15" ht="11.45" customHeight="1" x14ac:dyDescent="0.2">
      <c r="A27" s="38" t="s">
        <v>234</v>
      </c>
      <c r="B27" s="39"/>
      <c r="C27" s="39"/>
      <c r="D27" s="39"/>
      <c r="E27" s="38">
        <f>F27+H27+J27+L27+N27</f>
        <v>0</v>
      </c>
      <c r="F27" s="38"/>
      <c r="G27" s="39"/>
      <c r="H27" s="38"/>
      <c r="I27" s="39"/>
      <c r="J27" s="38"/>
      <c r="K27" s="39"/>
      <c r="L27" s="39"/>
      <c r="M27" s="39"/>
      <c r="N27" s="39"/>
      <c r="O27" s="39"/>
    </row>
    <row r="28" spans="1:15" ht="11.45" customHeight="1" x14ac:dyDescent="0.2">
      <c r="A28" s="38" t="s">
        <v>244</v>
      </c>
      <c r="B28" s="39"/>
      <c r="C28" s="39"/>
      <c r="D28" s="39"/>
      <c r="E28" s="38"/>
      <c r="F28" s="38"/>
      <c r="G28" s="39"/>
      <c r="H28" s="38"/>
      <c r="I28" s="39"/>
      <c r="J28" s="38"/>
      <c r="K28" s="39"/>
      <c r="L28" s="39"/>
      <c r="M28" s="39"/>
      <c r="N28" s="39"/>
      <c r="O28" s="39"/>
    </row>
    <row r="29" spans="1:15" ht="11.45" customHeight="1" x14ac:dyDescent="0.2">
      <c r="A29" s="38" t="s">
        <v>237</v>
      </c>
      <c r="B29" s="38"/>
      <c r="C29" s="38"/>
      <c r="D29" s="38"/>
      <c r="E29" s="38"/>
      <c r="F29" s="38"/>
      <c r="G29" s="38">
        <v>50.01</v>
      </c>
      <c r="H29" s="38"/>
      <c r="I29" s="38"/>
      <c r="J29" s="38"/>
      <c r="K29" s="38"/>
      <c r="L29" s="38"/>
      <c r="M29" s="38"/>
      <c r="N29" s="38"/>
      <c r="O29" s="38"/>
    </row>
    <row r="30" spans="1:15" ht="11.45" customHeight="1" x14ac:dyDescent="0.2">
      <c r="A30" s="38" t="s">
        <v>255</v>
      </c>
      <c r="B30" s="39"/>
      <c r="C30" s="39"/>
      <c r="D30" s="39"/>
      <c r="E30" s="38"/>
      <c r="F30" s="38"/>
      <c r="G30" s="38">
        <f>G23-G29</f>
        <v>22.427652068126527</v>
      </c>
      <c r="H30" s="38"/>
      <c r="I30" s="38">
        <f>I23-I29</f>
        <v>12.147286428764531</v>
      </c>
      <c r="J30" s="38"/>
      <c r="K30" s="38">
        <f>K23-K29</f>
        <v>8.4596343606380096</v>
      </c>
      <c r="L30" s="39"/>
      <c r="M30" s="38">
        <f>M23-M29</f>
        <v>3.9402541227358747</v>
      </c>
      <c r="N30" s="38"/>
      <c r="O30" s="38">
        <f>O23-O29</f>
        <v>3.0151730197350637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3</v>
      </c>
      <c r="F31" s="53">
        <v>1</v>
      </c>
      <c r="G31" s="53"/>
      <c r="H31" s="53">
        <v>1</v>
      </c>
      <c r="I31" s="53"/>
      <c r="J31" s="53">
        <v>1</v>
      </c>
      <c r="K31" s="52"/>
      <c r="L31" s="53"/>
      <c r="M31" s="52"/>
      <c r="N31" s="52"/>
      <c r="O31" s="52"/>
    </row>
    <row r="32" spans="1:15" ht="11.45" customHeight="1" x14ac:dyDescent="0.2">
      <c r="A32" s="38" t="s">
        <v>239</v>
      </c>
      <c r="B32" s="39"/>
      <c r="C32" s="39"/>
      <c r="D32" s="39"/>
      <c r="E32" s="54">
        <f>E26+E27+E31</f>
        <v>6</v>
      </c>
      <c r="F32" s="38">
        <v>4</v>
      </c>
      <c r="G32" s="38">
        <f t="shared" ref="G32:O32" si="5">G26+G27+G31</f>
        <v>0</v>
      </c>
      <c r="H32" s="38">
        <f t="shared" si="5"/>
        <v>1</v>
      </c>
      <c r="I32" s="38">
        <f t="shared" si="5"/>
        <v>0</v>
      </c>
      <c r="J32" s="38">
        <f t="shared" si="5"/>
        <v>1</v>
      </c>
      <c r="K32" s="38">
        <f t="shared" si="5"/>
        <v>0</v>
      </c>
      <c r="L32" s="38">
        <f t="shared" si="5"/>
        <v>0</v>
      </c>
      <c r="M32" s="38">
        <f t="shared" si="5"/>
        <v>0</v>
      </c>
      <c r="N32" s="38">
        <f t="shared" si="5"/>
        <v>0</v>
      </c>
      <c r="O32" s="38">
        <f t="shared" si="5"/>
        <v>0</v>
      </c>
    </row>
    <row r="33" spans="1:15" ht="11.45" customHeight="1" x14ac:dyDescent="0.2">
      <c r="A33" s="38" t="s">
        <v>245</v>
      </c>
      <c r="B33" s="39"/>
      <c r="C33" s="39"/>
      <c r="D33" s="39"/>
      <c r="E33" s="56">
        <f>G33+I33+K33+M33</f>
        <v>87.399999999999991</v>
      </c>
      <c r="F33" s="38"/>
      <c r="G33" s="38">
        <v>66.8</v>
      </c>
      <c r="H33" s="38"/>
      <c r="I33" s="38">
        <v>12.1</v>
      </c>
      <c r="J33" s="38"/>
      <c r="K33" s="38">
        <v>8.5</v>
      </c>
      <c r="L33" s="38"/>
      <c r="M33" s="38">
        <v>0</v>
      </c>
      <c r="N33" s="38"/>
      <c r="O33" s="38"/>
    </row>
    <row r="34" spans="1:15" ht="11.45" customHeight="1" x14ac:dyDescent="0.2">
      <c r="A34" s="38" t="s">
        <v>314</v>
      </c>
      <c r="B34" s="39"/>
      <c r="C34" s="39"/>
      <c r="D34" s="39"/>
      <c r="E34" s="54">
        <f>F34+H34+J34+L34</f>
        <v>206907.264</v>
      </c>
      <c r="F34" s="54">
        <f>G33*$E23/100</f>
        <v>158139.64799999999</v>
      </c>
      <c r="G34" s="38"/>
      <c r="H34" s="38">
        <f>I33*$E23/100</f>
        <v>28645.056</v>
      </c>
      <c r="I34" s="38"/>
      <c r="J34" s="38">
        <f>K33*$E23/100</f>
        <v>20122.560000000001</v>
      </c>
      <c r="K34" s="38"/>
      <c r="L34" s="38">
        <f>M33*$E23/100</f>
        <v>0</v>
      </c>
      <c r="M34" s="38"/>
      <c r="N34" s="38">
        <f>O33*$E23/100</f>
        <v>0</v>
      </c>
      <c r="O34" s="38"/>
    </row>
    <row r="35" spans="1:15" ht="11.45" customHeight="1" x14ac:dyDescent="0.2">
      <c r="A35" s="79" t="s">
        <v>313</v>
      </c>
      <c r="B35" s="80"/>
      <c r="C35" s="80"/>
      <c r="D35" s="80"/>
      <c r="E35" s="68">
        <v>0.874</v>
      </c>
      <c r="F35" s="63"/>
      <c r="G35" s="68">
        <v>0.66800000000000004</v>
      </c>
      <c r="H35" s="63"/>
      <c r="I35" s="68">
        <v>0.121</v>
      </c>
      <c r="J35" s="63"/>
      <c r="K35" s="68">
        <v>8.5000000000000006E-2</v>
      </c>
      <c r="L35" s="63"/>
      <c r="M35" s="63"/>
      <c r="N35" s="63"/>
      <c r="O35" s="38"/>
    </row>
    <row r="36" spans="1:15" ht="11.45" customHeight="1" x14ac:dyDescent="0.2">
      <c r="A36" s="81" t="s">
        <v>312</v>
      </c>
      <c r="B36" s="82"/>
      <c r="C36" s="82"/>
      <c r="D36" s="82"/>
      <c r="E36" s="59">
        <v>0.72399999999999998</v>
      </c>
      <c r="F36" s="38"/>
      <c r="G36" s="59">
        <v>0.72399999999999998</v>
      </c>
      <c r="H36" s="38"/>
      <c r="I36" s="59">
        <v>0</v>
      </c>
      <c r="J36" s="38"/>
      <c r="K36" s="59">
        <v>0</v>
      </c>
      <c r="L36" s="38"/>
      <c r="M36" s="95" t="s">
        <v>260</v>
      </c>
      <c r="N36" s="28"/>
      <c r="O36" s="95" t="s">
        <v>260</v>
      </c>
    </row>
    <row r="37" spans="1:15" ht="11.45" customHeight="1" x14ac:dyDescent="0.2">
      <c r="A37" s="38" t="s">
        <v>240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 ht="11.45" customHeight="1" x14ac:dyDescent="0.2">
      <c r="A38" s="38" t="s">
        <v>252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 ht="11.45" customHeight="1" x14ac:dyDescent="0.2">
      <c r="A39" s="61" t="s">
        <v>276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11.45" customHeight="1" x14ac:dyDescent="0.2">
      <c r="A40" s="38" t="s">
        <v>253</v>
      </c>
      <c r="E40" s="28">
        <f>F40+H40+J40+L40+N40</f>
        <v>171486</v>
      </c>
      <c r="F40" s="28">
        <f>F23</f>
        <v>171486</v>
      </c>
      <c r="G40" s="28">
        <f>F40*100/$E23</f>
        <v>72.437652068126525</v>
      </c>
      <c r="H40" s="28">
        <v>0</v>
      </c>
      <c r="I40" s="28">
        <f>H40*100/$E23</f>
        <v>0</v>
      </c>
      <c r="J40" s="28">
        <v>0</v>
      </c>
      <c r="K40" s="28">
        <f>J40*100/$E23</f>
        <v>0</v>
      </c>
      <c r="L40" s="28">
        <v>0</v>
      </c>
      <c r="M40" s="28">
        <f>L40*100/$E23</f>
        <v>0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E41" s="95" t="s">
        <v>286</v>
      </c>
      <c r="F41" s="83"/>
      <c r="G41" s="95" t="s">
        <v>286</v>
      </c>
      <c r="H41" s="83"/>
      <c r="I41" s="95" t="s">
        <v>260</v>
      </c>
      <c r="J41" s="83"/>
      <c r="K41" s="57" t="s">
        <v>260</v>
      </c>
      <c r="L41" s="28"/>
      <c r="M41" s="95" t="s">
        <v>260</v>
      </c>
      <c r="N41" s="28"/>
      <c r="O41" s="95" t="s">
        <v>260</v>
      </c>
    </row>
  </sheetData>
  <sheetProtection selectLockedCells="1" selectUnlockedCells="1"/>
  <pageMargins left="0.78740157480314965" right="0.78740157480314965" top="1.0629921259842521" bottom="1.0629921259842521" header="0.78740157480314965" footer="0.78740157480314965"/>
  <pageSetup firstPageNumber="0" orientation="portrait" horizontalDpi="300" verticalDpi="300" r:id="rId1"/>
  <headerFooter alignWithMargins="0">
    <oddHeader>&amp;C&amp;"Times New Roman,Regular"&amp;12&amp;A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50" zoomScaleNormal="150" workbookViewId="0">
      <pane ySplit="4" topLeftCell="A25" activePane="bottomLeft" state="frozen"/>
      <selection pane="bottomLeft" activeCell="F40" sqref="F40"/>
    </sheetView>
  </sheetViews>
  <sheetFormatPr defaultColWidth="11.5703125" defaultRowHeight="11.45" customHeight="1" x14ac:dyDescent="0.2"/>
  <cols>
    <col min="1" max="1" width="5.5703125" customWidth="1"/>
    <col min="2" max="3" width="5.140625" customWidth="1"/>
    <col min="4" max="4" width="16.5703125" customWidth="1"/>
    <col min="5" max="5" width="6.42578125" customWidth="1"/>
    <col min="6" max="8" width="5" customWidth="1"/>
    <col min="9" max="9" width="5.7109375" customWidth="1"/>
    <col min="10" max="15" width="5" customWidth="1"/>
  </cols>
  <sheetData>
    <row r="1" spans="1:15" ht="12.75" customHeight="1" x14ac:dyDescent="0.2">
      <c r="A1" t="s">
        <v>334</v>
      </c>
    </row>
    <row r="2" spans="1:15" ht="12.75" customHeight="1" x14ac:dyDescent="0.2">
      <c r="A2" s="35" t="s">
        <v>226</v>
      </c>
    </row>
    <row r="3" spans="1:15" ht="12.75" customHeight="1" x14ac:dyDescent="0.2">
      <c r="E3" s="35" t="s">
        <v>205</v>
      </c>
    </row>
    <row r="4" spans="1:15" ht="12.75" customHeight="1" x14ac:dyDescent="0.2">
      <c r="A4" s="36" t="s">
        <v>206</v>
      </c>
      <c r="B4" s="36" t="s">
        <v>207</v>
      </c>
      <c r="C4" s="36" t="s">
        <v>208</v>
      </c>
      <c r="D4" s="37" t="s">
        <v>209</v>
      </c>
      <c r="E4" s="6" t="s">
        <v>4</v>
      </c>
      <c r="F4" s="7" t="s">
        <v>5</v>
      </c>
      <c r="G4" s="7" t="s">
        <v>6</v>
      </c>
      <c r="H4" s="8" t="s">
        <v>7</v>
      </c>
      <c r="I4" s="8" t="s">
        <v>6</v>
      </c>
      <c r="J4" s="9" t="s">
        <v>8</v>
      </c>
      <c r="K4" s="9" t="s">
        <v>6</v>
      </c>
      <c r="L4" s="10" t="s">
        <v>9</v>
      </c>
      <c r="M4" s="10" t="s">
        <v>6</v>
      </c>
      <c r="N4" s="6" t="s">
        <v>10</v>
      </c>
      <c r="O4" s="6" t="s">
        <v>6</v>
      </c>
    </row>
    <row r="5" spans="1:15" ht="11.45" customHeight="1" x14ac:dyDescent="0.2">
      <c r="A5" s="1">
        <v>106</v>
      </c>
      <c r="B5" s="1"/>
      <c r="C5" s="1"/>
      <c r="D5" s="15" t="s">
        <v>158</v>
      </c>
      <c r="E5" s="1">
        <f>F5+H5+J5+L5+N5</f>
        <v>38235</v>
      </c>
      <c r="F5" s="1">
        <v>31454</v>
      </c>
      <c r="G5" s="1">
        <f t="shared" ref="G5:G10" si="0">F5*100/$E5</f>
        <v>82.264940499542305</v>
      </c>
      <c r="H5" s="1">
        <v>3114</v>
      </c>
      <c r="I5" s="1">
        <f t="shared" ref="I5:I10" si="1">H5*100/$E5</f>
        <v>8.1443703413103172</v>
      </c>
      <c r="J5" s="1">
        <v>0</v>
      </c>
      <c r="K5" s="1">
        <f t="shared" ref="K5:K10" si="2">J5*100/$E5</f>
        <v>0</v>
      </c>
      <c r="L5" s="1">
        <v>2100</v>
      </c>
      <c r="M5" s="1">
        <f t="shared" ref="M5:M10" si="3">L5*100/$E5</f>
        <v>5.4923499411533934</v>
      </c>
      <c r="N5" s="1">
        <f>796+420+236+115</f>
        <v>1567</v>
      </c>
      <c r="O5" s="1">
        <f t="shared" ref="O5:O10" si="4">N5*100/$E5</f>
        <v>4.0983392179939848</v>
      </c>
    </row>
    <row r="6" spans="1:15" ht="11.45" customHeight="1" x14ac:dyDescent="0.2">
      <c r="A6" s="1">
        <v>3</v>
      </c>
      <c r="B6" s="1"/>
      <c r="C6" s="1"/>
      <c r="D6" s="15" t="s">
        <v>159</v>
      </c>
      <c r="E6" s="1">
        <f>F6+H6+J6+L6+N6</f>
        <v>34110</v>
      </c>
      <c r="F6" s="1">
        <v>24212</v>
      </c>
      <c r="G6" s="1">
        <f t="shared" si="0"/>
        <v>70.982116681325124</v>
      </c>
      <c r="H6" s="1">
        <v>3985</v>
      </c>
      <c r="I6" s="1">
        <f t="shared" si="1"/>
        <v>11.682790970389915</v>
      </c>
      <c r="J6" s="1">
        <v>3040</v>
      </c>
      <c r="K6" s="1">
        <f t="shared" si="2"/>
        <v>8.9123424215772502</v>
      </c>
      <c r="L6" s="1">
        <v>2239</v>
      </c>
      <c r="M6" s="1">
        <f t="shared" si="3"/>
        <v>6.5640574611550866</v>
      </c>
      <c r="N6" s="1">
        <f>405+162+67</f>
        <v>634</v>
      </c>
      <c r="O6" s="1">
        <f t="shared" si="4"/>
        <v>1.8586924655526238</v>
      </c>
    </row>
    <row r="7" spans="1:15" ht="11.45" customHeight="1" x14ac:dyDescent="0.2">
      <c r="A7" s="1"/>
      <c r="B7" s="1">
        <v>49</v>
      </c>
      <c r="C7" s="5" t="s">
        <v>5</v>
      </c>
      <c r="D7" s="15" t="s">
        <v>160</v>
      </c>
      <c r="E7" s="16">
        <f>E5+E6</f>
        <v>72345</v>
      </c>
      <c r="F7" s="16">
        <f>F5+F6</f>
        <v>55666</v>
      </c>
      <c r="G7" s="16">
        <f t="shared" si="0"/>
        <v>76.945193171608267</v>
      </c>
      <c r="H7" s="16">
        <f>H5+H6</f>
        <v>7099</v>
      </c>
      <c r="I7" s="16">
        <f t="shared" si="1"/>
        <v>9.8127030202501899</v>
      </c>
      <c r="J7" s="16">
        <f>J5+J6</f>
        <v>3040</v>
      </c>
      <c r="K7" s="16">
        <f t="shared" si="2"/>
        <v>4.2020872209551454</v>
      </c>
      <c r="L7" s="16">
        <f>L5+L6</f>
        <v>4339</v>
      </c>
      <c r="M7" s="16">
        <f t="shared" si="3"/>
        <v>5.9976501485935447</v>
      </c>
      <c r="N7" s="16">
        <f>N5+N6</f>
        <v>2201</v>
      </c>
      <c r="O7" s="16">
        <f t="shared" si="4"/>
        <v>3.0423664385928535</v>
      </c>
    </row>
    <row r="8" spans="1:15" ht="11.45" customHeight="1" x14ac:dyDescent="0.2">
      <c r="A8" s="1">
        <v>85</v>
      </c>
      <c r="B8" s="1"/>
      <c r="C8" s="1"/>
      <c r="D8" s="15" t="s">
        <v>161</v>
      </c>
      <c r="E8" s="1">
        <f>F8+H8+J8+L8+N8</f>
        <v>27320</v>
      </c>
      <c r="F8" s="1">
        <v>15368</v>
      </c>
      <c r="G8" s="1">
        <f t="shared" si="0"/>
        <v>56.251830161054173</v>
      </c>
      <c r="H8" s="1">
        <v>3993</v>
      </c>
      <c r="I8" s="1">
        <f t="shared" si="1"/>
        <v>14.615666178623719</v>
      </c>
      <c r="J8" s="1">
        <v>2252</v>
      </c>
      <c r="K8" s="1">
        <f t="shared" si="2"/>
        <v>8.2430453879941439</v>
      </c>
      <c r="L8" s="1">
        <v>4621</v>
      </c>
      <c r="M8" s="1">
        <f t="shared" si="3"/>
        <v>16.914348462664716</v>
      </c>
      <c r="N8" s="1">
        <f>660+192+154+80</f>
        <v>1086</v>
      </c>
      <c r="O8" s="1">
        <f t="shared" si="4"/>
        <v>3.9751098096632504</v>
      </c>
    </row>
    <row r="9" spans="1:15" ht="11.45" customHeight="1" x14ac:dyDescent="0.2">
      <c r="A9" s="1">
        <v>80</v>
      </c>
      <c r="B9" s="1"/>
      <c r="C9" s="1"/>
      <c r="D9" s="15" t="s">
        <v>162</v>
      </c>
      <c r="E9" s="1">
        <f>F9+H9+J9+L9+N9</f>
        <v>29201</v>
      </c>
      <c r="F9" s="1">
        <v>23267</v>
      </c>
      <c r="G9" s="1">
        <f t="shared" si="0"/>
        <v>79.678778124036853</v>
      </c>
      <c r="H9" s="1">
        <v>1603</v>
      </c>
      <c r="I9" s="1">
        <f t="shared" si="1"/>
        <v>5.4895380295195366</v>
      </c>
      <c r="J9" s="1">
        <v>2018</v>
      </c>
      <c r="K9" s="1">
        <f t="shared" si="2"/>
        <v>6.910722235539879</v>
      </c>
      <c r="L9" s="1">
        <v>1572</v>
      </c>
      <c r="M9" s="1">
        <f t="shared" si="3"/>
        <v>5.3833772815999454</v>
      </c>
      <c r="N9" s="1">
        <f>520+161+60</f>
        <v>741</v>
      </c>
      <c r="O9" s="1">
        <f t="shared" si="4"/>
        <v>2.5375843293037912</v>
      </c>
    </row>
    <row r="10" spans="1:15" ht="11.45" customHeight="1" x14ac:dyDescent="0.2">
      <c r="A10" s="5"/>
      <c r="B10" s="5">
        <v>50</v>
      </c>
      <c r="C10" s="5" t="s">
        <v>5</v>
      </c>
      <c r="D10" s="18" t="s">
        <v>163</v>
      </c>
      <c r="E10" s="12">
        <f>E8+E9</f>
        <v>56521</v>
      </c>
      <c r="F10" s="12">
        <f>F8+F9</f>
        <v>38635</v>
      </c>
      <c r="G10" s="12">
        <f t="shared" si="0"/>
        <v>68.355124643937657</v>
      </c>
      <c r="H10" s="12">
        <f>H8+H9</f>
        <v>5596</v>
      </c>
      <c r="I10" s="12">
        <f t="shared" si="1"/>
        <v>9.9007448558942688</v>
      </c>
      <c r="J10" s="12">
        <f>J8+J9</f>
        <v>4270</v>
      </c>
      <c r="K10" s="12">
        <f t="shared" si="2"/>
        <v>7.5547141770315456</v>
      </c>
      <c r="L10" s="12">
        <f>L8+L9</f>
        <v>6193</v>
      </c>
      <c r="M10" s="12">
        <f t="shared" si="3"/>
        <v>10.956989437554183</v>
      </c>
      <c r="N10" s="12">
        <f>N8+N9</f>
        <v>1827</v>
      </c>
      <c r="O10" s="12">
        <f t="shared" si="4"/>
        <v>3.2324268855823499</v>
      </c>
    </row>
    <row r="14" spans="1:15" ht="11.45" customHeight="1" x14ac:dyDescent="0.2">
      <c r="A14" s="1"/>
      <c r="B14" s="1"/>
      <c r="C14" s="1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11.45" customHeight="1" x14ac:dyDescent="0.2">
      <c r="A15" s="1"/>
      <c r="B15" s="1"/>
      <c r="C15" s="1"/>
      <c r="D15" s="20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1.45" customHeight="1" x14ac:dyDescent="0.2">
      <c r="A16" s="1"/>
      <c r="B16" s="1"/>
      <c r="C16" s="1"/>
      <c r="D16" s="20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21" spans="1:15" ht="11.45" customHeight="1" x14ac:dyDescent="0.2">
      <c r="A21" s="39" t="s">
        <v>210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11.45" customHeight="1" x14ac:dyDescent="0.2">
      <c r="A22" s="55" t="s">
        <v>231</v>
      </c>
      <c r="B22" s="39"/>
      <c r="C22" s="39"/>
      <c r="D22" s="39"/>
      <c r="E22" s="51">
        <v>4</v>
      </c>
      <c r="F22" s="51">
        <v>4</v>
      </c>
      <c r="G22" s="39"/>
      <c r="H22" s="38">
        <v>0</v>
      </c>
      <c r="I22" s="38"/>
      <c r="J22" s="38">
        <v>0</v>
      </c>
      <c r="K22" s="38"/>
      <c r="L22" s="38">
        <v>0</v>
      </c>
      <c r="M22" s="39"/>
      <c r="N22" s="39"/>
      <c r="O22" s="39"/>
    </row>
    <row r="23" spans="1:15" ht="11.45" customHeight="1" x14ac:dyDescent="0.2">
      <c r="A23" s="55" t="s">
        <v>232</v>
      </c>
      <c r="B23" s="39"/>
      <c r="C23" s="39"/>
      <c r="D23" s="39"/>
      <c r="E23" s="1">
        <f>E7+E10+E13+E16+E19</f>
        <v>128866</v>
      </c>
      <c r="F23" s="1">
        <f>F7+F10+F13+F16+F19</f>
        <v>94301</v>
      </c>
      <c r="G23" s="1">
        <f>F23*100/$E23</f>
        <v>73.177564291589718</v>
      </c>
      <c r="H23" s="1">
        <f>H7+H10+H13+H16+H19</f>
        <v>12695</v>
      </c>
      <c r="I23" s="1">
        <f>H23*100/$E23</f>
        <v>9.8513184237890528</v>
      </c>
      <c r="J23" s="1">
        <f>J7+J10+J13+J16+J19</f>
        <v>7310</v>
      </c>
      <c r="K23" s="1">
        <f>J23*100/$E23</f>
        <v>5.6725590923905456</v>
      </c>
      <c r="L23" s="1">
        <f>L7+L10+L13+L16+L19</f>
        <v>10532</v>
      </c>
      <c r="M23" s="1">
        <f>L23*100/$E23</f>
        <v>8.1728306923470893</v>
      </c>
      <c r="N23" s="1">
        <f>N7+N10+N13+N16+N19</f>
        <v>4028</v>
      </c>
      <c r="O23" s="1">
        <f>N23*100/$E23</f>
        <v>3.1257274998836002</v>
      </c>
    </row>
    <row r="24" spans="1:15" s="28" customFormat="1" ht="11.45" customHeight="1" x14ac:dyDescent="0.2">
      <c r="A24" s="55"/>
      <c r="B24" s="39"/>
      <c r="C24" s="39"/>
      <c r="D24" s="3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11.45" customHeight="1" x14ac:dyDescent="0.2">
      <c r="A25" s="55" t="s">
        <v>241</v>
      </c>
      <c r="B25" s="39"/>
      <c r="C25" s="39"/>
      <c r="D25" s="3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1.45" customHeight="1" x14ac:dyDescent="0.2">
      <c r="A26" s="38" t="s">
        <v>233</v>
      </c>
      <c r="B26" s="39"/>
      <c r="C26" s="39"/>
      <c r="D26" s="39"/>
      <c r="E26" s="38">
        <v>2</v>
      </c>
      <c r="F26" s="38">
        <v>2</v>
      </c>
      <c r="G26" s="39"/>
      <c r="H26" s="38">
        <v>0</v>
      </c>
      <c r="I26" s="39"/>
      <c r="J26" s="38">
        <v>0</v>
      </c>
      <c r="K26" s="39"/>
      <c r="L26" s="38">
        <v>0</v>
      </c>
      <c r="M26" s="39"/>
      <c r="N26" s="38">
        <v>0</v>
      </c>
      <c r="O26" s="39"/>
    </row>
    <row r="27" spans="1:15" ht="11.45" customHeight="1" x14ac:dyDescent="0.2">
      <c r="A27" s="38" t="s">
        <v>234</v>
      </c>
      <c r="B27" s="39"/>
      <c r="C27" s="39"/>
      <c r="D27" s="39"/>
      <c r="E27" s="38">
        <f>F27+H27+J27+L27+N27</f>
        <v>0</v>
      </c>
      <c r="F27" s="38">
        <v>0</v>
      </c>
      <c r="G27" s="39"/>
      <c r="H27" s="38"/>
      <c r="I27" s="39"/>
      <c r="J27" s="38"/>
      <c r="K27" s="39"/>
      <c r="L27" s="39"/>
      <c r="M27" s="39"/>
      <c r="N27" s="39"/>
      <c r="O27" s="39"/>
    </row>
    <row r="28" spans="1:15" ht="11.45" customHeight="1" x14ac:dyDescent="0.2">
      <c r="A28" s="38" t="s">
        <v>242</v>
      </c>
      <c r="B28" s="39"/>
      <c r="C28" s="39"/>
      <c r="D28" s="39"/>
      <c r="E28" s="38"/>
      <c r="F28" s="38"/>
      <c r="G28" s="39"/>
      <c r="H28" s="38"/>
      <c r="I28" s="39"/>
      <c r="J28" s="38"/>
      <c r="K28" s="39"/>
      <c r="L28" s="39"/>
      <c r="M28" s="39"/>
      <c r="N28" s="39"/>
      <c r="O28" s="39"/>
    </row>
    <row r="29" spans="1:15" ht="11.45" customHeight="1" x14ac:dyDescent="0.2">
      <c r="A29" s="38" t="s">
        <v>237</v>
      </c>
      <c r="B29" s="38"/>
      <c r="C29" s="38"/>
      <c r="D29" s="38"/>
      <c r="E29" s="38"/>
      <c r="F29" s="38"/>
      <c r="G29" s="38">
        <v>50</v>
      </c>
      <c r="H29" s="38"/>
      <c r="I29" s="38"/>
      <c r="J29" s="38"/>
      <c r="K29" s="38"/>
      <c r="L29" s="38"/>
      <c r="M29" s="38"/>
      <c r="N29" s="38"/>
      <c r="O29" s="38"/>
    </row>
    <row r="30" spans="1:15" ht="11.45" customHeight="1" x14ac:dyDescent="0.2">
      <c r="A30" s="38" t="s">
        <v>255</v>
      </c>
      <c r="B30" s="39"/>
      <c r="C30" s="39"/>
      <c r="D30" s="39"/>
      <c r="E30" s="38"/>
      <c r="F30" s="38"/>
      <c r="G30" s="38">
        <f>G23-G29</f>
        <v>23.177564291589718</v>
      </c>
      <c r="H30" s="38"/>
      <c r="I30" s="38">
        <f>I23-I29</f>
        <v>9.8513184237890528</v>
      </c>
      <c r="J30" s="38"/>
      <c r="K30" s="38">
        <f>K23-K29</f>
        <v>5.6725590923905456</v>
      </c>
      <c r="L30" s="39"/>
      <c r="M30" s="38">
        <f>M23-M29</f>
        <v>8.1728306923470893</v>
      </c>
      <c r="N30" s="38"/>
      <c r="O30" s="38">
        <f>O23-O29</f>
        <v>3.1257274998836002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2</v>
      </c>
      <c r="F31" s="53">
        <v>1</v>
      </c>
      <c r="G31" s="53"/>
      <c r="H31" s="53">
        <v>1</v>
      </c>
      <c r="I31" s="53"/>
      <c r="J31" s="53"/>
      <c r="K31" s="52"/>
      <c r="L31" s="53"/>
      <c r="M31" s="52"/>
      <c r="N31" s="52"/>
      <c r="O31" s="52"/>
    </row>
    <row r="32" spans="1:15" ht="11.45" customHeight="1" x14ac:dyDescent="0.2">
      <c r="A32" s="38" t="s">
        <v>239</v>
      </c>
      <c r="B32" s="39"/>
      <c r="C32" s="39"/>
      <c r="D32" s="39"/>
      <c r="E32" s="54">
        <f>E26+E27+E31</f>
        <v>4</v>
      </c>
      <c r="F32" s="38">
        <f>F26+F27+F31</f>
        <v>3</v>
      </c>
      <c r="G32" s="38">
        <f t="shared" ref="G32:O32" si="5">G26+G27+G31</f>
        <v>0</v>
      </c>
      <c r="H32" s="38">
        <f t="shared" si="5"/>
        <v>1</v>
      </c>
      <c r="I32" s="38">
        <f t="shared" si="5"/>
        <v>0</v>
      </c>
      <c r="J32" s="38">
        <f t="shared" si="5"/>
        <v>0</v>
      </c>
      <c r="K32" s="38">
        <f t="shared" si="5"/>
        <v>0</v>
      </c>
      <c r="L32" s="38">
        <f t="shared" si="5"/>
        <v>0</v>
      </c>
      <c r="M32" s="38">
        <f t="shared" si="5"/>
        <v>0</v>
      </c>
      <c r="N32" s="38">
        <f t="shared" si="5"/>
        <v>0</v>
      </c>
      <c r="O32" s="38">
        <f t="shared" si="5"/>
        <v>0</v>
      </c>
    </row>
    <row r="33" spans="1:15" ht="11.45" customHeight="1" x14ac:dyDescent="0.2">
      <c r="A33" s="38" t="s">
        <v>245</v>
      </c>
      <c r="B33" s="39"/>
      <c r="C33" s="39"/>
      <c r="D33" s="39"/>
      <c r="E33" s="54">
        <f>G33+I33+K33+M33</f>
        <v>83.027564291589712</v>
      </c>
      <c r="F33" s="38"/>
      <c r="G33" s="38">
        <f>G29+G30</f>
        <v>73.177564291589718</v>
      </c>
      <c r="H33" s="38"/>
      <c r="I33" s="38">
        <v>9.85</v>
      </c>
      <c r="J33" s="38"/>
      <c r="K33" s="38">
        <v>0</v>
      </c>
      <c r="L33" s="38"/>
      <c r="M33" s="38">
        <v>0</v>
      </c>
      <c r="N33" s="38"/>
      <c r="O33" s="38"/>
    </row>
    <row r="34" spans="1:15" ht="11.45" customHeight="1" x14ac:dyDescent="0.2">
      <c r="A34" s="38" t="s">
        <v>314</v>
      </c>
      <c r="B34" s="39"/>
      <c r="C34" s="39"/>
      <c r="D34" s="39"/>
      <c r="E34" s="54">
        <f>F34+H34+J34+L34</f>
        <v>106994.30100000001</v>
      </c>
      <c r="F34" s="38">
        <f>G33*$E23/100</f>
        <v>94301</v>
      </c>
      <c r="G34" s="38"/>
      <c r="H34" s="38">
        <f>I33*$E23/100</f>
        <v>12693.300999999999</v>
      </c>
      <c r="I34" s="38"/>
      <c r="J34" s="38">
        <f>K33*$E23/100</f>
        <v>0</v>
      </c>
      <c r="K34" s="38"/>
      <c r="L34" s="38">
        <f>M33*$E23/100</f>
        <v>0</v>
      </c>
      <c r="M34" s="38"/>
      <c r="N34" s="38">
        <f>O33*$E23/100</f>
        <v>0</v>
      </c>
      <c r="O34" s="38"/>
    </row>
    <row r="35" spans="1:15" ht="11.45" customHeight="1" x14ac:dyDescent="0.2">
      <c r="A35" s="79" t="s">
        <v>313</v>
      </c>
      <c r="B35" s="80"/>
      <c r="C35" s="80"/>
      <c r="D35" s="80"/>
      <c r="E35" s="68">
        <v>0.83</v>
      </c>
      <c r="F35" s="63"/>
      <c r="G35" s="68">
        <v>0.73199999999999998</v>
      </c>
      <c r="H35" s="63"/>
      <c r="I35" s="68">
        <v>9.8500000000000004E-2</v>
      </c>
      <c r="J35" s="63"/>
      <c r="K35" s="63"/>
      <c r="L35" s="63"/>
      <c r="M35" s="63"/>
      <c r="N35" s="63"/>
      <c r="O35" s="38"/>
    </row>
    <row r="36" spans="1:15" ht="11.45" customHeight="1" x14ac:dyDescent="0.2">
      <c r="A36" s="81" t="s">
        <v>312</v>
      </c>
      <c r="B36" s="82"/>
      <c r="C36" s="82"/>
      <c r="D36" s="82"/>
      <c r="E36" s="62" t="s">
        <v>287</v>
      </c>
      <c r="F36" s="38"/>
      <c r="G36" s="62" t="s">
        <v>287</v>
      </c>
      <c r="H36" s="38"/>
      <c r="I36" s="62" t="s">
        <v>260</v>
      </c>
      <c r="K36" s="62" t="s">
        <v>260</v>
      </c>
      <c r="L36" s="38"/>
      <c r="M36" s="62" t="s">
        <v>260</v>
      </c>
      <c r="N36" s="38"/>
      <c r="O36" s="38"/>
    </row>
    <row r="37" spans="1:15" ht="11.45" customHeight="1" x14ac:dyDescent="0.2">
      <c r="A37" s="38" t="s">
        <v>240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 ht="11.45" customHeight="1" x14ac:dyDescent="0.2">
      <c r="A38" s="38" t="s">
        <v>252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 ht="11.45" customHeight="1" x14ac:dyDescent="0.2">
      <c r="A39" s="61" t="s">
        <v>276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11.45" customHeight="1" x14ac:dyDescent="0.2">
      <c r="A40" s="38" t="s">
        <v>253</v>
      </c>
      <c r="E40" s="28">
        <f>F40+H40+J40+L40+N40</f>
        <v>94301</v>
      </c>
      <c r="F40" s="28">
        <f>F23</f>
        <v>94301</v>
      </c>
      <c r="G40" s="28">
        <f>F40*100/$E23</f>
        <v>73.177564291589718</v>
      </c>
      <c r="H40" s="28">
        <v>0</v>
      </c>
      <c r="I40" s="28">
        <f>H40*100/$E23</f>
        <v>0</v>
      </c>
      <c r="J40" s="28">
        <v>0</v>
      </c>
      <c r="K40" s="28">
        <f>J40*100/$E23</f>
        <v>0</v>
      </c>
      <c r="L40" s="28">
        <v>0</v>
      </c>
      <c r="M40" s="28">
        <f>L40*100/$E23</f>
        <v>0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E41" s="95" t="s">
        <v>287</v>
      </c>
      <c r="F41" s="83"/>
      <c r="G41" s="95" t="s">
        <v>287</v>
      </c>
      <c r="H41" s="83"/>
      <c r="I41" s="95" t="s">
        <v>260</v>
      </c>
      <c r="J41" s="83"/>
      <c r="K41" s="57" t="s">
        <v>260</v>
      </c>
      <c r="L41" s="28"/>
      <c r="M41" s="95" t="s">
        <v>260</v>
      </c>
      <c r="N41" s="28"/>
      <c r="O41" s="95" t="s">
        <v>260</v>
      </c>
    </row>
  </sheetData>
  <sheetProtection selectLockedCells="1" selectUnlockedCells="1"/>
  <pageMargins left="0.78740157480314965" right="0.78740157480314965" top="1.0629921259842521" bottom="1.0629921259842521" header="0.78740157480314965" footer="0.78740157480314965"/>
  <pageSetup firstPageNumber="0" orientation="portrait" horizontalDpi="300" verticalDpi="300" r:id="rId1"/>
  <headerFooter alignWithMargins="0">
    <oddHeader>&amp;C&amp;"Times New Roman,Regular"&amp;12&amp;A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:E35"/>
  <sheetViews>
    <sheetView workbookViewId="0"/>
  </sheetViews>
  <sheetFormatPr defaultColWidth="9.140625" defaultRowHeight="12.75" x14ac:dyDescent="0.2"/>
  <sheetData>
    <row r="32" spans="1:5" x14ac:dyDescent="0.2">
      <c r="A32" t="s">
        <v>374</v>
      </c>
      <c r="E32" s="83" t="s">
        <v>375</v>
      </c>
    </row>
    <row r="33" spans="2:5" x14ac:dyDescent="0.2">
      <c r="B33" s="143" t="s">
        <v>378</v>
      </c>
      <c r="C33" s="144">
        <f>+Votes!F209</f>
        <v>0.29865420571399803</v>
      </c>
      <c r="E33" s="145">
        <f>+Votes!F208</f>
        <v>1257735</v>
      </c>
    </row>
    <row r="34" spans="2:5" x14ac:dyDescent="0.2">
      <c r="B34" s="143" t="s">
        <v>376</v>
      </c>
      <c r="C34" s="144">
        <f>+SUM(Votes!H209:L209)</f>
        <v>0.1802033651030954</v>
      </c>
      <c r="E34" s="145">
        <f>+SUM(Votes!H208:L208)</f>
        <v>758898</v>
      </c>
    </row>
    <row r="35" spans="2:5" x14ac:dyDescent="0.2">
      <c r="B35" s="143" t="s">
        <v>377</v>
      </c>
      <c r="C35" s="144">
        <f>1-C33-C34</f>
        <v>0.52114242918290654</v>
      </c>
      <c r="E35" s="145">
        <f>+Votes!E205-'Be Heard Graph'!E33-'Be Heard Graph'!E34</f>
        <v>2194709</v>
      </c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50" zoomScaleNormal="150" workbookViewId="0">
      <pane ySplit="4" topLeftCell="A16" activePane="bottomLeft" state="frozen"/>
      <selection pane="bottomLeft" activeCell="E26" sqref="E26:E32"/>
    </sheetView>
  </sheetViews>
  <sheetFormatPr defaultColWidth="11.5703125" defaultRowHeight="11.45" customHeight="1" x14ac:dyDescent="0.2"/>
  <cols>
    <col min="1" max="1" width="5.5703125" customWidth="1"/>
    <col min="2" max="3" width="5.140625" customWidth="1"/>
    <col min="4" max="4" width="14" customWidth="1"/>
    <col min="5" max="5" width="5.85546875" customWidth="1"/>
    <col min="6" max="8" width="5" customWidth="1"/>
    <col min="9" max="9" width="5.7109375" customWidth="1"/>
    <col min="10" max="12" width="5" customWidth="1"/>
    <col min="13" max="13" width="5.140625" customWidth="1"/>
    <col min="14" max="15" width="5" customWidth="1"/>
  </cols>
  <sheetData>
    <row r="1" spans="1:15" ht="12.75" customHeight="1" x14ac:dyDescent="0.2">
      <c r="A1" t="s">
        <v>331</v>
      </c>
    </row>
    <row r="2" spans="1:15" ht="12.75" customHeight="1" x14ac:dyDescent="0.2">
      <c r="A2" s="35" t="s">
        <v>227</v>
      </c>
    </row>
    <row r="3" spans="1:15" ht="12.75" customHeight="1" x14ac:dyDescent="0.2">
      <c r="E3" s="35" t="s">
        <v>205</v>
      </c>
    </row>
    <row r="4" spans="1:15" ht="12.75" customHeight="1" x14ac:dyDescent="0.2">
      <c r="A4" s="36" t="s">
        <v>206</v>
      </c>
      <c r="B4" s="36" t="s">
        <v>207</v>
      </c>
      <c r="C4" s="36" t="s">
        <v>208</v>
      </c>
      <c r="D4" s="37" t="s">
        <v>209</v>
      </c>
      <c r="E4" s="6" t="s">
        <v>4</v>
      </c>
      <c r="F4" s="7" t="s">
        <v>5</v>
      </c>
      <c r="G4" s="7" t="s">
        <v>6</v>
      </c>
      <c r="H4" s="8" t="s">
        <v>7</v>
      </c>
      <c r="I4" s="8" t="s">
        <v>6</v>
      </c>
      <c r="J4" s="9" t="s">
        <v>8</v>
      </c>
      <c r="K4" s="9" t="s">
        <v>6</v>
      </c>
      <c r="L4" s="10" t="s">
        <v>9</v>
      </c>
      <c r="M4" s="10" t="s">
        <v>6</v>
      </c>
      <c r="N4" s="6" t="s">
        <v>10</v>
      </c>
      <c r="O4" s="6" t="s">
        <v>6</v>
      </c>
    </row>
    <row r="5" spans="1:15" ht="11.45" customHeight="1" x14ac:dyDescent="0.2">
      <c r="A5" s="1">
        <v>62</v>
      </c>
      <c r="B5" s="1"/>
      <c r="C5" s="1"/>
      <c r="D5" s="15" t="s">
        <v>164</v>
      </c>
      <c r="E5" s="1">
        <f>F5+H5+J5+L5+N5</f>
        <v>33684</v>
      </c>
      <c r="F5" s="1">
        <v>15566</v>
      </c>
      <c r="G5" s="1">
        <f t="shared" ref="G5:G13" si="0">F5*100/$E5</f>
        <v>46.211851324070778</v>
      </c>
      <c r="H5" s="1">
        <v>5369</v>
      </c>
      <c r="I5" s="1">
        <f t="shared" ref="I5:I13" si="1">H5*100/$E5</f>
        <v>15.939318370739818</v>
      </c>
      <c r="J5" s="1">
        <v>2415</v>
      </c>
      <c r="K5" s="1">
        <f t="shared" ref="K5:K13" si="2">J5*100/$E5</f>
        <v>7.1695760598503737</v>
      </c>
      <c r="L5" s="1">
        <v>9330</v>
      </c>
      <c r="M5" s="1">
        <f t="shared" ref="M5:M13" si="3">L5*100/$E5</f>
        <v>27.698610616316351</v>
      </c>
      <c r="N5" s="1">
        <f>482+263+143+116</f>
        <v>1004</v>
      </c>
      <c r="O5" s="1">
        <f t="shared" ref="O5:O13" si="4">N5*100/$E5</f>
        <v>2.9806436290226812</v>
      </c>
    </row>
    <row r="6" spans="1:15" ht="11.45" customHeight="1" x14ac:dyDescent="0.2">
      <c r="A6" s="1">
        <v>39</v>
      </c>
      <c r="B6" s="1"/>
      <c r="C6" s="1"/>
      <c r="D6" s="33" t="s">
        <v>165</v>
      </c>
      <c r="E6" s="1">
        <f>F6+H6+J6+L6+N6</f>
        <v>31592</v>
      </c>
      <c r="F6" s="1">
        <v>5642</v>
      </c>
      <c r="G6" s="1">
        <f t="shared" si="0"/>
        <v>17.858951633324892</v>
      </c>
      <c r="H6" s="1">
        <v>6438</v>
      </c>
      <c r="I6" s="1">
        <f t="shared" si="1"/>
        <v>20.378576854899976</v>
      </c>
      <c r="J6" s="1">
        <v>2748</v>
      </c>
      <c r="K6" s="1">
        <f t="shared" si="2"/>
        <v>8.6984046594074442</v>
      </c>
      <c r="L6" s="1">
        <v>16055</v>
      </c>
      <c r="M6" s="1">
        <f t="shared" si="3"/>
        <v>50.819827804507469</v>
      </c>
      <c r="N6" s="1">
        <f>358+351</f>
        <v>709</v>
      </c>
      <c r="O6" s="1">
        <f t="shared" si="4"/>
        <v>2.2442390478602179</v>
      </c>
    </row>
    <row r="7" spans="1:15" ht="11.45" customHeight="1" x14ac:dyDescent="0.2">
      <c r="A7" s="1"/>
      <c r="B7" s="1">
        <v>51</v>
      </c>
      <c r="C7" s="1" t="s">
        <v>9</v>
      </c>
      <c r="D7" s="33" t="s">
        <v>166</v>
      </c>
      <c r="E7" s="16">
        <f>E5+E6</f>
        <v>65276</v>
      </c>
      <c r="F7" s="16">
        <f>F5+F6</f>
        <v>21208</v>
      </c>
      <c r="G7" s="16">
        <f t="shared" si="0"/>
        <v>32.489735890679576</v>
      </c>
      <c r="H7" s="16">
        <f>H5+H6</f>
        <v>11807</v>
      </c>
      <c r="I7" s="16">
        <f t="shared" si="1"/>
        <v>18.087811753171149</v>
      </c>
      <c r="J7" s="16">
        <f>J5+J6</f>
        <v>5163</v>
      </c>
      <c r="K7" s="16">
        <f t="shared" si="2"/>
        <v>7.9094920031864699</v>
      </c>
      <c r="L7" s="16">
        <f>L5+L6</f>
        <v>25385</v>
      </c>
      <c r="M7" s="16">
        <f t="shared" si="3"/>
        <v>38.888718671487226</v>
      </c>
      <c r="N7" s="16">
        <f>N5+N6</f>
        <v>1713</v>
      </c>
      <c r="O7" s="16">
        <f t="shared" si="4"/>
        <v>2.6242416814755805</v>
      </c>
    </row>
    <row r="8" spans="1:15" ht="11.45" customHeight="1" x14ac:dyDescent="0.2">
      <c r="A8" s="1">
        <v>75</v>
      </c>
      <c r="B8" s="1"/>
      <c r="C8" s="1"/>
      <c r="D8" s="33" t="s">
        <v>167</v>
      </c>
      <c r="E8" s="1">
        <f>F8+H8+J8+L8+N8</f>
        <v>28639</v>
      </c>
      <c r="F8" s="1">
        <v>6593</v>
      </c>
      <c r="G8" s="1">
        <f t="shared" si="0"/>
        <v>23.021055204441495</v>
      </c>
      <c r="H8" s="1">
        <v>5872</v>
      </c>
      <c r="I8" s="1">
        <f t="shared" si="1"/>
        <v>20.50350920074025</v>
      </c>
      <c r="J8" s="1">
        <v>2400</v>
      </c>
      <c r="K8" s="1">
        <f t="shared" si="2"/>
        <v>8.3801808722371582</v>
      </c>
      <c r="L8" s="1">
        <v>13228</v>
      </c>
      <c r="M8" s="1">
        <f t="shared" si="3"/>
        <v>46.188763574147139</v>
      </c>
      <c r="N8" s="1">
        <f>228+189+129</f>
        <v>546</v>
      </c>
      <c r="O8" s="1">
        <f t="shared" si="4"/>
        <v>1.9064911484339537</v>
      </c>
    </row>
    <row r="9" spans="1:15" ht="11.45" customHeight="1" x14ac:dyDescent="0.2">
      <c r="A9" s="1">
        <v>107</v>
      </c>
      <c r="B9" s="1"/>
      <c r="C9" s="1"/>
      <c r="D9" s="33" t="s">
        <v>168</v>
      </c>
      <c r="E9" s="1">
        <f>F9+H9+J9+L9+N9</f>
        <v>27664</v>
      </c>
      <c r="F9" s="1">
        <v>8437</v>
      </c>
      <c r="G9" s="1">
        <f t="shared" si="0"/>
        <v>30.498120300751879</v>
      </c>
      <c r="H9" s="1">
        <v>7612</v>
      </c>
      <c r="I9" s="1">
        <f t="shared" si="1"/>
        <v>27.515905147484094</v>
      </c>
      <c r="J9" s="1">
        <v>2364</v>
      </c>
      <c r="K9" s="1">
        <f t="shared" si="2"/>
        <v>8.5454019664545982</v>
      </c>
      <c r="L9" s="1">
        <v>8437</v>
      </c>
      <c r="M9" s="1">
        <f t="shared" si="3"/>
        <v>30.498120300751879</v>
      </c>
      <c r="N9" s="1">
        <f>393+210+164+47</f>
        <v>814</v>
      </c>
      <c r="O9" s="1">
        <f t="shared" si="4"/>
        <v>2.9424522845575476</v>
      </c>
    </row>
    <row r="10" spans="1:15" ht="11.45" customHeight="1" x14ac:dyDescent="0.2">
      <c r="A10" s="1"/>
      <c r="B10" s="1">
        <v>52</v>
      </c>
      <c r="C10" s="1" t="s">
        <v>9</v>
      </c>
      <c r="D10" s="33" t="s">
        <v>169</v>
      </c>
      <c r="E10" s="16">
        <f>E8+E9</f>
        <v>56303</v>
      </c>
      <c r="F10" s="16">
        <f>F8+F9</f>
        <v>15030</v>
      </c>
      <c r="G10" s="16">
        <f t="shared" si="0"/>
        <v>26.694847521446459</v>
      </c>
      <c r="H10" s="16">
        <f>H8+H9</f>
        <v>13484</v>
      </c>
      <c r="I10" s="16">
        <f t="shared" si="1"/>
        <v>23.948990284709517</v>
      </c>
      <c r="J10" s="16">
        <f>J8+J9</f>
        <v>4764</v>
      </c>
      <c r="K10" s="16">
        <f t="shared" si="2"/>
        <v>8.4613608511091769</v>
      </c>
      <c r="L10" s="16">
        <f>L8+L9</f>
        <v>21665</v>
      </c>
      <c r="M10" s="16">
        <f t="shared" si="3"/>
        <v>38.479299504466901</v>
      </c>
      <c r="N10" s="16">
        <f>N8+N9</f>
        <v>1360</v>
      </c>
      <c r="O10" s="16">
        <f t="shared" si="4"/>
        <v>2.415501838267943</v>
      </c>
    </row>
    <row r="11" spans="1:15" ht="11.45" customHeight="1" x14ac:dyDescent="0.2">
      <c r="A11" s="1">
        <v>42</v>
      </c>
      <c r="B11" s="1"/>
      <c r="C11" s="1"/>
      <c r="D11" s="17" t="s">
        <v>170</v>
      </c>
      <c r="E11" s="1">
        <f>F11+H11+J11+L11+N11</f>
        <v>25925</v>
      </c>
      <c r="F11" s="1">
        <v>4675</v>
      </c>
      <c r="G11" s="1">
        <f t="shared" si="0"/>
        <v>18.032786885245901</v>
      </c>
      <c r="H11" s="1">
        <v>9038</v>
      </c>
      <c r="I11" s="1">
        <f t="shared" si="1"/>
        <v>34.862102217936354</v>
      </c>
      <c r="J11" s="1">
        <v>3097</v>
      </c>
      <c r="K11" s="1">
        <f t="shared" si="2"/>
        <v>11.945998071359691</v>
      </c>
      <c r="L11" s="1">
        <v>7926</v>
      </c>
      <c r="M11" s="1">
        <f t="shared" si="3"/>
        <v>30.572806171648988</v>
      </c>
      <c r="N11" s="1">
        <f>352+316+278+182+61</f>
        <v>1189</v>
      </c>
      <c r="O11" s="1">
        <f t="shared" si="4"/>
        <v>4.5863066538090642</v>
      </c>
    </row>
    <row r="12" spans="1:15" ht="11.45" customHeight="1" x14ac:dyDescent="0.2">
      <c r="A12" s="1">
        <v>98</v>
      </c>
      <c r="B12" s="1"/>
      <c r="C12" s="1"/>
      <c r="D12" s="17" t="s">
        <v>171</v>
      </c>
      <c r="E12" s="1">
        <f>F12+H12+J12+L12+N12</f>
        <v>37006</v>
      </c>
      <c r="F12" s="1">
        <v>11115</v>
      </c>
      <c r="G12" s="1">
        <f t="shared" si="0"/>
        <v>30.035669891368968</v>
      </c>
      <c r="H12" s="1">
        <v>12632</v>
      </c>
      <c r="I12" s="1">
        <f t="shared" si="1"/>
        <v>34.135005134302546</v>
      </c>
      <c r="J12" s="1">
        <v>5252</v>
      </c>
      <c r="K12" s="1">
        <f t="shared" si="2"/>
        <v>14.192293141652705</v>
      </c>
      <c r="L12" s="1">
        <v>6920</v>
      </c>
      <c r="M12" s="1">
        <f t="shared" si="3"/>
        <v>18.699670323731286</v>
      </c>
      <c r="N12" s="1">
        <f>488+321+278</f>
        <v>1087</v>
      </c>
      <c r="O12" s="1">
        <f t="shared" si="4"/>
        <v>2.9373615089444955</v>
      </c>
    </row>
    <row r="13" spans="1:15" ht="11.45" customHeight="1" x14ac:dyDescent="0.2">
      <c r="A13" s="5"/>
      <c r="B13" s="5">
        <v>53</v>
      </c>
      <c r="C13" s="5" t="s">
        <v>7</v>
      </c>
      <c r="D13" s="19" t="s">
        <v>172</v>
      </c>
      <c r="E13" s="12">
        <f>E11+E12</f>
        <v>62931</v>
      </c>
      <c r="F13" s="12">
        <f>F11+F12</f>
        <v>15790</v>
      </c>
      <c r="G13" s="12">
        <f t="shared" si="0"/>
        <v>25.090972652587755</v>
      </c>
      <c r="H13" s="12">
        <f>H11+H12</f>
        <v>21670</v>
      </c>
      <c r="I13" s="12">
        <f t="shared" si="1"/>
        <v>34.434539416185984</v>
      </c>
      <c r="J13" s="12">
        <f>J11+J12</f>
        <v>8349</v>
      </c>
      <c r="K13" s="12">
        <f t="shared" si="2"/>
        <v>13.266911379129523</v>
      </c>
      <c r="L13" s="12">
        <f>L11+L12</f>
        <v>14846</v>
      </c>
      <c r="M13" s="12">
        <f t="shared" si="3"/>
        <v>23.590917036118924</v>
      </c>
      <c r="N13" s="12">
        <f>N11+N12</f>
        <v>2276</v>
      </c>
      <c r="O13" s="12">
        <f t="shared" si="4"/>
        <v>3.6166595159778168</v>
      </c>
    </row>
    <row r="14" spans="1:15" ht="11.45" customHeight="1" x14ac:dyDescent="0.2">
      <c r="A14" s="1"/>
      <c r="B14" s="1"/>
      <c r="C14" s="1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11.45" customHeight="1" x14ac:dyDescent="0.2">
      <c r="A15" s="1"/>
      <c r="B15" s="1"/>
      <c r="C15" s="1"/>
      <c r="D15" s="20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1.45" customHeight="1" x14ac:dyDescent="0.2">
      <c r="A16" s="1"/>
      <c r="B16" s="1"/>
      <c r="C16" s="1"/>
      <c r="D16" s="20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21" spans="1:15" ht="11.45" customHeight="1" x14ac:dyDescent="0.2">
      <c r="A21" s="39" t="s">
        <v>210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11.45" customHeight="1" x14ac:dyDescent="0.2">
      <c r="A22" s="55" t="s">
        <v>231</v>
      </c>
      <c r="B22" s="39"/>
      <c r="C22" s="39"/>
      <c r="D22" s="39"/>
      <c r="E22" s="51">
        <v>6</v>
      </c>
      <c r="F22" s="51">
        <v>1</v>
      </c>
      <c r="G22" s="39"/>
      <c r="H22" s="38">
        <v>2</v>
      </c>
      <c r="I22" s="38"/>
      <c r="J22" s="38">
        <v>0</v>
      </c>
      <c r="K22" s="38"/>
      <c r="L22" s="38">
        <v>3</v>
      </c>
      <c r="M22" s="39"/>
      <c r="N22" s="39"/>
      <c r="O22" s="39"/>
    </row>
    <row r="23" spans="1:15" ht="11.45" customHeight="1" x14ac:dyDescent="0.2">
      <c r="A23" s="55" t="s">
        <v>232</v>
      </c>
      <c r="B23" s="39"/>
      <c r="C23" s="39"/>
      <c r="D23" s="39"/>
      <c r="E23" s="1">
        <f>E7+E10+E13+E16+E19</f>
        <v>184510</v>
      </c>
      <c r="F23" s="1">
        <f>F7+F10+F13+F16+F19</f>
        <v>52028</v>
      </c>
      <c r="G23" s="1">
        <f>F23*100/$E23</f>
        <v>28.197929651509405</v>
      </c>
      <c r="H23" s="1">
        <f>H7+H10+H13+H16+H19</f>
        <v>46961</v>
      </c>
      <c r="I23" s="1">
        <f>H23*100/$E23</f>
        <v>25.451737033223132</v>
      </c>
      <c r="J23" s="1">
        <f>J7+J10+J13+J16+J19</f>
        <v>18276</v>
      </c>
      <c r="K23" s="1">
        <f>J23*100/$E23</f>
        <v>9.9051541921847051</v>
      </c>
      <c r="L23" s="1">
        <f>L7+L10+L13+L16+L19</f>
        <v>61896</v>
      </c>
      <c r="M23" s="1">
        <f>L23*100/$E23</f>
        <v>33.546149260202696</v>
      </c>
      <c r="N23" s="1">
        <f>N7+N10+N13+N16+N19</f>
        <v>5349</v>
      </c>
      <c r="O23" s="1">
        <f>N23*100/$E23</f>
        <v>2.8990298628800608</v>
      </c>
    </row>
    <row r="24" spans="1:15" s="28" customFormat="1" ht="11.45" customHeight="1" x14ac:dyDescent="0.2">
      <c r="A24" s="55"/>
      <c r="B24" s="39"/>
      <c r="C24" s="39"/>
      <c r="D24" s="3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11.45" customHeight="1" x14ac:dyDescent="0.2">
      <c r="A25" s="55" t="s">
        <v>241</v>
      </c>
      <c r="B25" s="39"/>
      <c r="C25" s="39"/>
      <c r="D25" s="3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1.45" customHeight="1" x14ac:dyDescent="0.2">
      <c r="A26" s="38" t="s">
        <v>233</v>
      </c>
      <c r="B26" s="39"/>
      <c r="C26" s="39"/>
      <c r="D26" s="39"/>
      <c r="E26" s="38">
        <f>F26+H26+J26+L26+N26</f>
        <v>3</v>
      </c>
      <c r="F26" s="38">
        <v>0</v>
      </c>
      <c r="G26" s="39"/>
      <c r="H26" s="38">
        <v>1</v>
      </c>
      <c r="I26" s="39"/>
      <c r="J26" s="38">
        <v>0</v>
      </c>
      <c r="K26" s="39"/>
      <c r="L26" s="38">
        <v>2</v>
      </c>
      <c r="M26" s="39"/>
      <c r="N26" s="39"/>
      <c r="O26" s="39"/>
    </row>
    <row r="27" spans="1:15" ht="11.45" customHeight="1" x14ac:dyDescent="0.2">
      <c r="A27" s="38" t="s">
        <v>234</v>
      </c>
      <c r="B27" s="39"/>
      <c r="C27" s="39"/>
      <c r="D27" s="39"/>
      <c r="E27" s="38">
        <f>F27+H27+J27+L27+N27</f>
        <v>1</v>
      </c>
      <c r="F27" s="38">
        <v>1</v>
      </c>
      <c r="G27" s="39"/>
      <c r="H27" s="38"/>
      <c r="I27" s="39"/>
      <c r="J27" s="38"/>
      <c r="K27" s="39"/>
      <c r="L27" s="39"/>
      <c r="M27" s="39"/>
      <c r="N27" s="39"/>
      <c r="O27" s="39"/>
    </row>
    <row r="28" spans="1:15" ht="11.45" customHeight="1" x14ac:dyDescent="0.2">
      <c r="A28" s="38" t="s">
        <v>244</v>
      </c>
      <c r="B28" s="39"/>
      <c r="C28" s="39"/>
      <c r="D28" s="39"/>
      <c r="E28" s="38"/>
      <c r="F28" s="38"/>
      <c r="G28" s="39"/>
      <c r="H28" s="38"/>
      <c r="I28" s="39"/>
      <c r="J28" s="38"/>
      <c r="K28" s="39"/>
      <c r="L28" s="39"/>
      <c r="M28" s="39"/>
      <c r="N28" s="39"/>
      <c r="O28" s="39"/>
    </row>
    <row r="29" spans="1:15" ht="11.45" customHeight="1" x14ac:dyDescent="0.2">
      <c r="A29" s="38" t="s">
        <v>237</v>
      </c>
      <c r="B29" s="38"/>
      <c r="C29" s="38"/>
      <c r="D29" s="38"/>
      <c r="E29" s="38"/>
      <c r="F29" s="38"/>
      <c r="G29" s="38">
        <f>1*16.67</f>
        <v>16.670000000000002</v>
      </c>
      <c r="H29" s="38"/>
      <c r="I29" s="38">
        <f>1*16.67</f>
        <v>16.670000000000002</v>
      </c>
      <c r="J29" s="38"/>
      <c r="K29" s="38"/>
      <c r="L29" s="38"/>
      <c r="M29" s="38">
        <f>2*16.67</f>
        <v>33.340000000000003</v>
      </c>
      <c r="N29" s="38"/>
      <c r="O29" s="38"/>
    </row>
    <row r="30" spans="1:15" ht="11.45" customHeight="1" x14ac:dyDescent="0.2">
      <c r="A30" s="38" t="s">
        <v>255</v>
      </c>
      <c r="B30" s="39"/>
      <c r="C30" s="39"/>
      <c r="D30" s="39"/>
      <c r="E30" s="38"/>
      <c r="F30" s="38"/>
      <c r="G30" s="38">
        <f>G23-G29</f>
        <v>11.527929651509403</v>
      </c>
      <c r="H30" s="38"/>
      <c r="I30" s="38">
        <f>I23-I29</f>
        <v>8.7817370332231306</v>
      </c>
      <c r="J30" s="38"/>
      <c r="K30" s="38">
        <f>K23-K29</f>
        <v>9.9051541921847051</v>
      </c>
      <c r="L30" s="39"/>
      <c r="M30" s="38">
        <f>M23-M29</f>
        <v>0.20614926020269309</v>
      </c>
      <c r="N30" s="38"/>
      <c r="O30" s="38">
        <f>O23-O29</f>
        <v>2.8990298628800608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2</v>
      </c>
      <c r="F31" s="53">
        <v>1</v>
      </c>
      <c r="G31" s="53"/>
      <c r="H31" s="53"/>
      <c r="I31" s="53"/>
      <c r="J31" s="53">
        <v>1</v>
      </c>
      <c r="K31" s="52"/>
      <c r="L31" s="53"/>
      <c r="M31" s="52"/>
      <c r="N31" s="52"/>
      <c r="O31" s="52"/>
    </row>
    <row r="32" spans="1:15" ht="11.45" customHeight="1" x14ac:dyDescent="0.2">
      <c r="A32" s="38" t="s">
        <v>239</v>
      </c>
      <c r="B32" s="39"/>
      <c r="C32" s="39"/>
      <c r="D32" s="39"/>
      <c r="E32" s="54">
        <f>E26+E27+E31</f>
        <v>6</v>
      </c>
      <c r="F32" s="38">
        <f>F26+F27+F31</f>
        <v>2</v>
      </c>
      <c r="G32" s="38">
        <f t="shared" ref="G32:O32" si="5">G26+G27+G31</f>
        <v>0</v>
      </c>
      <c r="H32" s="38">
        <f t="shared" si="5"/>
        <v>1</v>
      </c>
      <c r="I32" s="38">
        <f t="shared" si="5"/>
        <v>0</v>
      </c>
      <c r="J32" s="38">
        <f t="shared" si="5"/>
        <v>1</v>
      </c>
      <c r="K32" s="38">
        <f t="shared" si="5"/>
        <v>0</v>
      </c>
      <c r="L32" s="38">
        <f t="shared" si="5"/>
        <v>2</v>
      </c>
      <c r="M32" s="38">
        <f t="shared" si="5"/>
        <v>0</v>
      </c>
      <c r="N32" s="38">
        <f t="shared" si="5"/>
        <v>0</v>
      </c>
      <c r="O32" s="38">
        <f t="shared" si="5"/>
        <v>0</v>
      </c>
    </row>
    <row r="33" spans="1:15" ht="11.45" customHeight="1" x14ac:dyDescent="0.2">
      <c r="A33" s="38" t="s">
        <v>245</v>
      </c>
      <c r="B33" s="39"/>
      <c r="C33" s="39"/>
      <c r="D33" s="39"/>
      <c r="E33" s="54">
        <f>G33+I33+K33+M33</f>
        <v>76.599999999999994</v>
      </c>
      <c r="F33" s="38"/>
      <c r="G33" s="38">
        <v>16.7</v>
      </c>
      <c r="H33" s="38"/>
      <c r="I33" s="38">
        <v>16.7</v>
      </c>
      <c r="J33" s="38"/>
      <c r="K33" s="38">
        <v>9.9</v>
      </c>
      <c r="L33" s="38"/>
      <c r="M33" s="38">
        <v>33.299999999999997</v>
      </c>
      <c r="N33" s="38"/>
      <c r="O33" s="38"/>
    </row>
    <row r="34" spans="1:15" ht="11.45" customHeight="1" x14ac:dyDescent="0.2">
      <c r="A34" s="38" t="s">
        <v>314</v>
      </c>
      <c r="B34" s="39"/>
      <c r="C34" s="39"/>
      <c r="D34" s="39"/>
      <c r="E34" s="54">
        <f>F34+H34+J34+L34</f>
        <v>141334.65999999997</v>
      </c>
      <c r="F34" s="38">
        <f>G33*$E23/100</f>
        <v>30813.17</v>
      </c>
      <c r="G34" s="38"/>
      <c r="H34" s="38">
        <f>I33*$E23/100</f>
        <v>30813.17</v>
      </c>
      <c r="I34" s="38"/>
      <c r="J34" s="38">
        <f>K33*$E23/100</f>
        <v>18266.490000000002</v>
      </c>
      <c r="K34" s="38"/>
      <c r="L34" s="38">
        <f>M33*$E23/100</f>
        <v>61441.829999999987</v>
      </c>
      <c r="M34" s="38"/>
      <c r="N34" s="38">
        <f>O33*$E23/100</f>
        <v>0</v>
      </c>
      <c r="O34" s="38"/>
    </row>
    <row r="35" spans="1:15" ht="11.45" customHeight="1" x14ac:dyDescent="0.2">
      <c r="A35" s="79" t="s">
        <v>313</v>
      </c>
      <c r="B35" s="80"/>
      <c r="C35" s="80"/>
      <c r="D35" s="80"/>
      <c r="E35" s="68">
        <v>0.77</v>
      </c>
      <c r="F35" s="63"/>
      <c r="G35" s="68">
        <v>0.16700000000000001</v>
      </c>
      <c r="H35" s="63"/>
      <c r="I35" s="68">
        <v>0.16700000000000001</v>
      </c>
      <c r="J35" s="63"/>
      <c r="K35" s="68">
        <v>9.9000000000000005E-2</v>
      </c>
      <c r="L35" s="63"/>
      <c r="M35" s="68">
        <v>0.33300000000000002</v>
      </c>
      <c r="N35" s="63"/>
      <c r="O35" s="38"/>
    </row>
    <row r="36" spans="1:15" ht="11.45" customHeight="1" x14ac:dyDescent="0.2">
      <c r="A36" s="81" t="s">
        <v>312</v>
      </c>
      <c r="B36" s="82"/>
      <c r="C36" s="82"/>
      <c r="D36" s="82"/>
      <c r="E36" s="62" t="s">
        <v>290</v>
      </c>
      <c r="F36" s="38"/>
      <c r="G36" s="62" t="s">
        <v>272</v>
      </c>
      <c r="H36" s="38"/>
      <c r="I36" s="62" t="s">
        <v>288</v>
      </c>
      <c r="K36" s="62" t="s">
        <v>260</v>
      </c>
      <c r="L36" s="38"/>
      <c r="M36" s="62" t="s">
        <v>289</v>
      </c>
      <c r="N36" s="38"/>
    </row>
    <row r="37" spans="1:15" ht="11.45" customHeight="1" x14ac:dyDescent="0.2">
      <c r="A37" s="38" t="s">
        <v>240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 ht="11.45" customHeight="1" x14ac:dyDescent="0.2">
      <c r="A38" s="38" t="s">
        <v>252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 ht="11.45" customHeight="1" x14ac:dyDescent="0.2">
      <c r="A39" s="61" t="s">
        <v>276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11.45" customHeight="1" x14ac:dyDescent="0.2">
      <c r="A40" s="38" t="s">
        <v>253</v>
      </c>
      <c r="E40" s="28">
        <f>F40+H40+J40+L40+N40</f>
        <v>74956</v>
      </c>
      <c r="F40" s="28">
        <f>F5</f>
        <v>15566</v>
      </c>
      <c r="G40" s="28">
        <f>F40*100/$E23</f>
        <v>8.436399111159286</v>
      </c>
      <c r="H40" s="28">
        <f>H11+H12</f>
        <v>21670</v>
      </c>
      <c r="I40" s="28">
        <f>H40*100/$E23</f>
        <v>11.744620887756762</v>
      </c>
      <c r="J40" s="28">
        <v>0</v>
      </c>
      <c r="K40" s="28">
        <f>J40*100/$E23</f>
        <v>0</v>
      </c>
      <c r="L40" s="28">
        <f>L6+L8+L9</f>
        <v>37720</v>
      </c>
      <c r="M40" s="28">
        <f>L40*100/$E23</f>
        <v>20.443336404530921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E41" s="95" t="s">
        <v>290</v>
      </c>
      <c r="F41" s="83"/>
      <c r="G41" s="95" t="s">
        <v>272</v>
      </c>
      <c r="H41" s="83"/>
      <c r="I41" s="95" t="s">
        <v>288</v>
      </c>
      <c r="J41" s="83"/>
      <c r="K41" s="57" t="s">
        <v>260</v>
      </c>
      <c r="L41" s="28"/>
      <c r="M41" s="95" t="s">
        <v>289</v>
      </c>
      <c r="N41" s="28"/>
      <c r="O41" s="95" t="s">
        <v>260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50" zoomScaleNormal="150" workbookViewId="0">
      <pane ySplit="4" topLeftCell="A20" activePane="bottomLeft" state="frozen"/>
      <selection pane="bottomLeft" activeCell="E36" sqref="E36"/>
    </sheetView>
  </sheetViews>
  <sheetFormatPr defaultColWidth="11.5703125" defaultRowHeight="11.45" customHeight="1" x14ac:dyDescent="0.2"/>
  <cols>
    <col min="1" max="1" width="5.5703125" customWidth="1"/>
    <col min="2" max="3" width="5.140625" customWidth="1"/>
    <col min="4" max="4" width="14.42578125" customWidth="1"/>
    <col min="5" max="5" width="5.85546875" customWidth="1"/>
    <col min="6" max="6" width="6" customWidth="1"/>
    <col min="7" max="8" width="5" customWidth="1"/>
    <col min="9" max="9" width="5.7109375" customWidth="1"/>
    <col min="10" max="15" width="5" customWidth="1"/>
  </cols>
  <sheetData>
    <row r="1" spans="1:15" ht="12.75" customHeight="1" x14ac:dyDescent="0.2">
      <c r="A1" t="s">
        <v>331</v>
      </c>
    </row>
    <row r="2" spans="1:15" ht="12.75" customHeight="1" x14ac:dyDescent="0.2">
      <c r="A2" s="35" t="s">
        <v>228</v>
      </c>
    </row>
    <row r="3" spans="1:15" ht="12.75" customHeight="1" x14ac:dyDescent="0.2">
      <c r="E3" s="35" t="s">
        <v>205</v>
      </c>
    </row>
    <row r="4" spans="1:15" ht="12.75" customHeight="1" x14ac:dyDescent="0.2">
      <c r="A4" s="36" t="s">
        <v>206</v>
      </c>
      <c r="B4" s="36" t="s">
        <v>207</v>
      </c>
      <c r="C4" s="36" t="s">
        <v>208</v>
      </c>
      <c r="D4" s="37" t="s">
        <v>209</v>
      </c>
      <c r="E4" s="6" t="s">
        <v>4</v>
      </c>
      <c r="F4" s="7" t="s">
        <v>5</v>
      </c>
      <c r="G4" s="7" t="s">
        <v>6</v>
      </c>
      <c r="H4" s="8" t="s">
        <v>7</v>
      </c>
      <c r="I4" s="8" t="s">
        <v>6</v>
      </c>
      <c r="J4" s="9" t="s">
        <v>8</v>
      </c>
      <c r="K4" s="9" t="s">
        <v>6</v>
      </c>
      <c r="L4" s="10" t="s">
        <v>9</v>
      </c>
      <c r="M4" s="10" t="s">
        <v>6</v>
      </c>
      <c r="N4" s="6" t="s">
        <v>10</v>
      </c>
      <c r="O4" s="6" t="s">
        <v>6</v>
      </c>
    </row>
    <row r="5" spans="1:15" ht="11.45" customHeight="1" x14ac:dyDescent="0.2">
      <c r="A5" s="1">
        <v>17</v>
      </c>
      <c r="B5" s="1"/>
      <c r="C5" s="1"/>
      <c r="D5" s="17" t="s">
        <v>173</v>
      </c>
      <c r="E5" s="1">
        <f>F5+H5+J5+L5+N5</f>
        <v>33541</v>
      </c>
      <c r="F5" s="1">
        <v>9685</v>
      </c>
      <c r="G5" s="1">
        <f t="shared" ref="G5:G16" si="0">F5*100/$E5</f>
        <v>28.87510807668227</v>
      </c>
      <c r="H5" s="1">
        <v>12709</v>
      </c>
      <c r="I5" s="1">
        <f t="shared" ref="I5:I16" si="1">H5*100/$E5</f>
        <v>37.890939447243674</v>
      </c>
      <c r="J5" s="1">
        <v>6548</v>
      </c>
      <c r="K5" s="1">
        <f t="shared" ref="K5:K16" si="2">J5*100/$E5</f>
        <v>19.522375600011927</v>
      </c>
      <c r="L5" s="1">
        <v>3733</v>
      </c>
      <c r="M5" s="1">
        <f t="shared" ref="M5:M16" si="3">L5*100/$E5</f>
        <v>11.129662204466175</v>
      </c>
      <c r="N5" s="1">
        <f>508+253+105</f>
        <v>866</v>
      </c>
      <c r="O5" s="1">
        <f t="shared" ref="O5:O16" si="4">N5*100/$E5</f>
        <v>2.5819146715959573</v>
      </c>
    </row>
    <row r="6" spans="1:15" ht="11.45" customHeight="1" x14ac:dyDescent="0.2">
      <c r="A6" s="1">
        <v>87</v>
      </c>
      <c r="B6" s="1"/>
      <c r="C6" s="1"/>
      <c r="D6" s="17" t="s">
        <v>174</v>
      </c>
      <c r="E6" s="1">
        <f>F6+H6+J6+L6+N6</f>
        <v>27781</v>
      </c>
      <c r="F6" s="1">
        <v>6199</v>
      </c>
      <c r="G6" s="1">
        <f t="shared" si="0"/>
        <v>22.313811597854649</v>
      </c>
      <c r="H6" s="1">
        <v>12021</v>
      </c>
      <c r="I6" s="1">
        <f t="shared" si="1"/>
        <v>43.270580612648935</v>
      </c>
      <c r="J6" s="1">
        <v>6692</v>
      </c>
      <c r="K6" s="1">
        <f t="shared" si="2"/>
        <v>24.088405744933588</v>
      </c>
      <c r="L6" s="1">
        <v>2165</v>
      </c>
      <c r="M6" s="1">
        <f t="shared" si="3"/>
        <v>7.7930960008638994</v>
      </c>
      <c r="N6" s="1">
        <f>332+234+82+56</f>
        <v>704</v>
      </c>
      <c r="O6" s="1">
        <f t="shared" si="4"/>
        <v>2.5341060436989311</v>
      </c>
    </row>
    <row r="7" spans="1:15" ht="11.45" customHeight="1" x14ac:dyDescent="0.2">
      <c r="A7" s="1"/>
      <c r="B7" s="1">
        <v>54</v>
      </c>
      <c r="C7" s="1" t="s">
        <v>7</v>
      </c>
      <c r="D7" s="17" t="s">
        <v>175</v>
      </c>
      <c r="E7" s="16">
        <f>E5+E6</f>
        <v>61322</v>
      </c>
      <c r="F7" s="16">
        <f>F5+F6</f>
        <v>15884</v>
      </c>
      <c r="G7" s="16">
        <f t="shared" si="0"/>
        <v>25.90261243925508</v>
      </c>
      <c r="H7" s="16">
        <f>H5+H6</f>
        <v>24730</v>
      </c>
      <c r="I7" s="16">
        <f t="shared" si="1"/>
        <v>40.328104106193535</v>
      </c>
      <c r="J7" s="16">
        <f>J5+J6</f>
        <v>13240</v>
      </c>
      <c r="K7" s="16">
        <f t="shared" si="2"/>
        <v>21.590946153093505</v>
      </c>
      <c r="L7" s="16">
        <f>L5+L6</f>
        <v>5898</v>
      </c>
      <c r="M7" s="16">
        <f t="shared" si="3"/>
        <v>9.6180816020351578</v>
      </c>
      <c r="N7" s="16">
        <f>N5+N6</f>
        <v>1570</v>
      </c>
      <c r="O7" s="16">
        <f t="shared" si="4"/>
        <v>2.5602556994227195</v>
      </c>
    </row>
    <row r="8" spans="1:15" ht="11.45" customHeight="1" x14ac:dyDescent="0.2">
      <c r="A8" s="1">
        <v>56</v>
      </c>
      <c r="B8" s="1"/>
      <c r="C8" s="1"/>
      <c r="D8" s="15" t="s">
        <v>176</v>
      </c>
      <c r="E8" s="1">
        <f>F8+H8+J8+L8+N8</f>
        <v>30678</v>
      </c>
      <c r="F8" s="1">
        <v>22476</v>
      </c>
      <c r="G8" s="1">
        <f t="shared" si="0"/>
        <v>73.264228437316646</v>
      </c>
      <c r="H8" s="1">
        <v>3327</v>
      </c>
      <c r="I8" s="1">
        <f t="shared" si="1"/>
        <v>10.844905143751223</v>
      </c>
      <c r="J8" s="1">
        <v>3303</v>
      </c>
      <c r="K8" s="1">
        <f t="shared" si="2"/>
        <v>10.766673185996479</v>
      </c>
      <c r="L8" s="1">
        <v>1189</v>
      </c>
      <c r="M8" s="1">
        <f t="shared" si="3"/>
        <v>3.8757415737662169</v>
      </c>
      <c r="N8" s="1">
        <f>233+116+34</f>
        <v>383</v>
      </c>
      <c r="O8" s="1">
        <f t="shared" si="4"/>
        <v>1.2484516591694375</v>
      </c>
    </row>
    <row r="9" spans="1:15" ht="11.45" customHeight="1" x14ac:dyDescent="0.2">
      <c r="A9" s="1">
        <v>4</v>
      </c>
      <c r="B9" s="1"/>
      <c r="C9" s="1"/>
      <c r="D9" s="15" t="s">
        <v>177</v>
      </c>
      <c r="E9" s="1">
        <f>F9+H9+J9+L9+N9</f>
        <v>31618</v>
      </c>
      <c r="F9" s="1">
        <v>16049</v>
      </c>
      <c r="G9" s="1">
        <f t="shared" si="0"/>
        <v>50.759061294199505</v>
      </c>
      <c r="H9" s="1">
        <v>7326</v>
      </c>
      <c r="I9" s="1">
        <f t="shared" si="1"/>
        <v>23.170346005439939</v>
      </c>
      <c r="J9" s="1">
        <v>5315</v>
      </c>
      <c r="K9" s="1">
        <f t="shared" si="2"/>
        <v>16.810044911126575</v>
      </c>
      <c r="L9" s="1">
        <v>2448</v>
      </c>
      <c r="M9" s="1">
        <f t="shared" si="3"/>
        <v>7.7424252008349672</v>
      </c>
      <c r="N9" s="1">
        <f>333+147</f>
        <v>480</v>
      </c>
      <c r="O9" s="1">
        <f t="shared" si="4"/>
        <v>1.5181225883990133</v>
      </c>
    </row>
    <row r="10" spans="1:15" ht="11.45" customHeight="1" x14ac:dyDescent="0.2">
      <c r="A10" s="1"/>
      <c r="B10" s="1">
        <v>55</v>
      </c>
      <c r="C10" s="5" t="s">
        <v>5</v>
      </c>
      <c r="D10" s="15" t="s">
        <v>178</v>
      </c>
      <c r="E10" s="16">
        <f>E8+E9</f>
        <v>62296</v>
      </c>
      <c r="F10" s="16">
        <f>F8+F9</f>
        <v>38525</v>
      </c>
      <c r="G10" s="16">
        <f t="shared" si="0"/>
        <v>61.841851804289199</v>
      </c>
      <c r="H10" s="16">
        <f>H8+H9</f>
        <v>10653</v>
      </c>
      <c r="I10" s="16">
        <f t="shared" si="1"/>
        <v>17.100616411968666</v>
      </c>
      <c r="J10" s="16">
        <f>J8+J9</f>
        <v>8618</v>
      </c>
      <c r="K10" s="16">
        <f t="shared" si="2"/>
        <v>13.83395402594067</v>
      </c>
      <c r="L10" s="16">
        <f>L8+L9</f>
        <v>3637</v>
      </c>
      <c r="M10" s="16">
        <f t="shared" si="3"/>
        <v>5.8382560678053164</v>
      </c>
      <c r="N10" s="16">
        <f>N8+N9</f>
        <v>863</v>
      </c>
      <c r="O10" s="16">
        <f t="shared" si="4"/>
        <v>1.3853216899961474</v>
      </c>
    </row>
    <row r="11" spans="1:15" ht="11.45" customHeight="1" x14ac:dyDescent="0.2">
      <c r="A11" s="1">
        <v>50</v>
      </c>
      <c r="B11" s="1"/>
      <c r="C11" s="1"/>
      <c r="D11" s="15" t="s">
        <v>179</v>
      </c>
      <c r="E11" s="1">
        <f>F11+H11+J11+L11+N11</f>
        <v>34374</v>
      </c>
      <c r="F11" s="1">
        <v>26997</v>
      </c>
      <c r="G11" s="1">
        <f t="shared" si="0"/>
        <v>78.53901204398673</v>
      </c>
      <c r="H11" s="1">
        <v>2956</v>
      </c>
      <c r="I11" s="1">
        <f t="shared" si="1"/>
        <v>8.5995228952114964</v>
      </c>
      <c r="J11" s="1">
        <v>2815</v>
      </c>
      <c r="K11" s="1">
        <f t="shared" si="2"/>
        <v>8.1893291441205562</v>
      </c>
      <c r="L11" s="1">
        <v>1154</v>
      </c>
      <c r="M11" s="1">
        <f t="shared" si="3"/>
        <v>3.35718857275848</v>
      </c>
      <c r="N11" s="1">
        <f>379+73</f>
        <v>452</v>
      </c>
      <c r="O11" s="1">
        <f t="shared" si="4"/>
        <v>1.3149473439227324</v>
      </c>
    </row>
    <row r="12" spans="1:15" ht="11.45" customHeight="1" x14ac:dyDescent="0.2">
      <c r="A12" s="1">
        <v>16</v>
      </c>
      <c r="B12" s="1"/>
      <c r="C12" s="1"/>
      <c r="D12" s="15" t="s">
        <v>180</v>
      </c>
      <c r="E12" s="1">
        <f>F12+H12+J12+L12+N12</f>
        <v>29596</v>
      </c>
      <c r="F12" s="1">
        <v>17905</v>
      </c>
      <c r="G12" s="1">
        <f t="shared" si="0"/>
        <v>60.498040275712931</v>
      </c>
      <c r="H12" s="1">
        <v>5646</v>
      </c>
      <c r="I12" s="1">
        <f t="shared" si="1"/>
        <v>19.076902284092444</v>
      </c>
      <c r="J12" s="1">
        <v>3624</v>
      </c>
      <c r="K12" s="1">
        <f t="shared" si="2"/>
        <v>12.244897959183673</v>
      </c>
      <c r="L12" s="1">
        <v>1737</v>
      </c>
      <c r="M12" s="1">
        <f t="shared" si="3"/>
        <v>5.8690363562643597</v>
      </c>
      <c r="N12" s="1">
        <f>351+214+119</f>
        <v>684</v>
      </c>
      <c r="O12" s="1">
        <f t="shared" si="4"/>
        <v>2.3111231247465875</v>
      </c>
    </row>
    <row r="13" spans="1:15" ht="11.45" customHeight="1" x14ac:dyDescent="0.2">
      <c r="A13" s="1"/>
      <c r="B13" s="1">
        <v>56</v>
      </c>
      <c r="C13" s="5" t="s">
        <v>5</v>
      </c>
      <c r="D13" s="15" t="s">
        <v>181</v>
      </c>
      <c r="E13" s="16">
        <f>E11+E12</f>
        <v>63970</v>
      </c>
      <c r="F13" s="16">
        <f>F11+F12</f>
        <v>44902</v>
      </c>
      <c r="G13" s="16">
        <f t="shared" si="0"/>
        <v>70.192277630139131</v>
      </c>
      <c r="H13" s="16">
        <f>H11+H12</f>
        <v>8602</v>
      </c>
      <c r="I13" s="16">
        <f t="shared" si="1"/>
        <v>13.44692824761607</v>
      </c>
      <c r="J13" s="16">
        <f>J11+J12</f>
        <v>6439</v>
      </c>
      <c r="K13" s="16">
        <f t="shared" si="2"/>
        <v>10.065655776145068</v>
      </c>
      <c r="L13" s="16">
        <f>L11+L12</f>
        <v>2891</v>
      </c>
      <c r="M13" s="16">
        <f t="shared" si="3"/>
        <v>4.5193059246521807</v>
      </c>
      <c r="N13" s="16">
        <f>N11+N12</f>
        <v>1136</v>
      </c>
      <c r="O13" s="16">
        <f t="shared" si="4"/>
        <v>1.7758324214475536</v>
      </c>
    </row>
    <row r="14" spans="1:15" ht="11.45" customHeight="1" x14ac:dyDescent="0.2">
      <c r="A14" s="1">
        <v>123</v>
      </c>
      <c r="B14" s="1"/>
      <c r="C14" s="1"/>
      <c r="D14" s="15" t="s">
        <v>182</v>
      </c>
      <c r="E14" s="1">
        <f>F14+H14+J14+L14+N14</f>
        <v>25719</v>
      </c>
      <c r="F14" s="1">
        <v>15945</v>
      </c>
      <c r="G14" s="1">
        <f t="shared" si="0"/>
        <v>61.996967222675842</v>
      </c>
      <c r="H14" s="1">
        <v>3782</v>
      </c>
      <c r="I14" s="1">
        <f t="shared" si="1"/>
        <v>14.705081846105992</v>
      </c>
      <c r="J14" s="1">
        <v>2380</v>
      </c>
      <c r="K14" s="1">
        <f t="shared" si="2"/>
        <v>9.2538590147361877</v>
      </c>
      <c r="L14" s="1">
        <v>2795</v>
      </c>
      <c r="M14" s="1">
        <f t="shared" si="3"/>
        <v>10.867452078230102</v>
      </c>
      <c r="N14" s="1">
        <f>314+179+179+145</f>
        <v>817</v>
      </c>
      <c r="O14" s="1">
        <f t="shared" si="4"/>
        <v>3.1766398382518761</v>
      </c>
    </row>
    <row r="15" spans="1:15" ht="11.45" customHeight="1" x14ac:dyDescent="0.2">
      <c r="A15" s="1">
        <v>30</v>
      </c>
      <c r="B15" s="1"/>
      <c r="C15" s="1"/>
      <c r="D15" s="15" t="s">
        <v>183</v>
      </c>
      <c r="E15" s="1">
        <f>F15+H15+J15+L15+N15</f>
        <v>34464</v>
      </c>
      <c r="F15" s="1">
        <v>13440</v>
      </c>
      <c r="G15" s="1">
        <f t="shared" si="0"/>
        <v>38.997214484679667</v>
      </c>
      <c r="H15" s="1">
        <v>10892</v>
      </c>
      <c r="I15" s="1">
        <f t="shared" si="1"/>
        <v>31.603992571959147</v>
      </c>
      <c r="J15" s="1">
        <v>4731</v>
      </c>
      <c r="K15" s="1">
        <f t="shared" si="2"/>
        <v>13.727367688022284</v>
      </c>
      <c r="L15" s="1">
        <v>4726</v>
      </c>
      <c r="M15" s="1">
        <f t="shared" si="3"/>
        <v>13.712859795728876</v>
      </c>
      <c r="N15" s="1">
        <f>448+227</f>
        <v>675</v>
      </c>
      <c r="O15" s="1">
        <f t="shared" si="4"/>
        <v>1.9585654596100279</v>
      </c>
    </row>
    <row r="16" spans="1:15" ht="11.45" customHeight="1" x14ac:dyDescent="0.2">
      <c r="A16" s="5"/>
      <c r="B16" s="5">
        <v>57</v>
      </c>
      <c r="C16" s="5" t="s">
        <v>5</v>
      </c>
      <c r="D16" s="18" t="s">
        <v>184</v>
      </c>
      <c r="E16" s="12">
        <f>E14+E15</f>
        <v>60183</v>
      </c>
      <c r="F16" s="12">
        <f>F14+F15</f>
        <v>29385</v>
      </c>
      <c r="G16" s="12">
        <f t="shared" si="0"/>
        <v>48.826080454613432</v>
      </c>
      <c r="H16" s="12">
        <f>H14+H15</f>
        <v>14674</v>
      </c>
      <c r="I16" s="12">
        <f t="shared" si="1"/>
        <v>24.382300649685128</v>
      </c>
      <c r="J16" s="12">
        <f>J14+J15</f>
        <v>7111</v>
      </c>
      <c r="K16" s="12">
        <f t="shared" si="2"/>
        <v>11.81562899822209</v>
      </c>
      <c r="L16" s="12">
        <f>L14+L15</f>
        <v>7521</v>
      </c>
      <c r="M16" s="12">
        <f t="shared" si="3"/>
        <v>12.496884502268083</v>
      </c>
      <c r="N16" s="12">
        <f>N14+N15</f>
        <v>1492</v>
      </c>
      <c r="O16" s="12">
        <f t="shared" si="4"/>
        <v>2.4791053952112723</v>
      </c>
    </row>
    <row r="21" spans="1:15" ht="11.45" customHeight="1" x14ac:dyDescent="0.2">
      <c r="A21" s="39" t="s">
        <v>210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11.45" customHeight="1" x14ac:dyDescent="0.2">
      <c r="A22" s="55" t="s">
        <v>231</v>
      </c>
      <c r="B22" s="39"/>
      <c r="C22" s="39"/>
      <c r="D22" s="39"/>
      <c r="E22" s="51">
        <v>8</v>
      </c>
      <c r="F22" s="51">
        <v>6</v>
      </c>
      <c r="G22" s="39"/>
      <c r="H22" s="38">
        <v>2</v>
      </c>
      <c r="I22" s="38"/>
      <c r="J22" s="38">
        <v>0</v>
      </c>
      <c r="K22" s="38"/>
      <c r="L22" s="38">
        <v>0</v>
      </c>
      <c r="M22" s="39"/>
      <c r="N22" s="39"/>
      <c r="O22" s="39"/>
    </row>
    <row r="23" spans="1:15" ht="11.45" customHeight="1" x14ac:dyDescent="0.2">
      <c r="A23" s="55" t="s">
        <v>232</v>
      </c>
      <c r="B23" s="39"/>
      <c r="C23" s="39"/>
      <c r="D23" s="39"/>
      <c r="E23" s="1">
        <f>E7+E10+E13+E16+E19</f>
        <v>247771</v>
      </c>
      <c r="F23" s="1">
        <f>F7+F10+F13+F16+F19</f>
        <v>128696</v>
      </c>
      <c r="G23" s="1">
        <f>F23*100/$E23</f>
        <v>51.94151050768653</v>
      </c>
      <c r="H23" s="1">
        <f>H7+H10+H13+H16+H19</f>
        <v>58659</v>
      </c>
      <c r="I23" s="1">
        <f>H23*100/$E23</f>
        <v>23.674683477888856</v>
      </c>
      <c r="J23" s="1">
        <f>J7+J10+J13+J16+J19</f>
        <v>35408</v>
      </c>
      <c r="K23" s="1">
        <f>J23*100/$E23</f>
        <v>14.290615124449593</v>
      </c>
      <c r="L23" s="1">
        <f>L7+L10+L13+L16+L19</f>
        <v>19947</v>
      </c>
      <c r="M23" s="1">
        <f>L23*100/$E23</f>
        <v>8.0505789620254191</v>
      </c>
      <c r="N23" s="1">
        <f>N7+N10+N13+N16+N19</f>
        <v>5061</v>
      </c>
      <c r="O23" s="1">
        <f>N23*100/$E23</f>
        <v>2.0426119279495984</v>
      </c>
    </row>
    <row r="24" spans="1:15" s="28" customFormat="1" ht="11.45" customHeight="1" x14ac:dyDescent="0.2">
      <c r="A24" s="55"/>
      <c r="B24" s="39"/>
      <c r="C24" s="39"/>
      <c r="D24" s="3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11.45" customHeight="1" x14ac:dyDescent="0.2">
      <c r="A25" s="55" t="s">
        <v>241</v>
      </c>
      <c r="B25" s="39"/>
      <c r="C25" s="39"/>
      <c r="D25" s="3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1.45" customHeight="1" x14ac:dyDescent="0.2">
      <c r="A26" s="38" t="s">
        <v>233</v>
      </c>
      <c r="B26" s="39"/>
      <c r="C26" s="39"/>
      <c r="D26" s="39"/>
      <c r="E26" s="38">
        <f>F26+H26+J26+L26+N26</f>
        <v>4</v>
      </c>
      <c r="F26" s="38">
        <v>3</v>
      </c>
      <c r="G26" s="39"/>
      <c r="H26" s="38">
        <v>1</v>
      </c>
      <c r="I26" s="39"/>
      <c r="J26" s="38">
        <v>0</v>
      </c>
      <c r="K26" s="39"/>
      <c r="L26" s="38">
        <v>0</v>
      </c>
      <c r="M26" s="39"/>
      <c r="N26" s="39"/>
      <c r="O26" s="39"/>
    </row>
    <row r="27" spans="1:15" ht="11.45" customHeight="1" x14ac:dyDescent="0.2">
      <c r="A27" s="38" t="s">
        <v>234</v>
      </c>
      <c r="B27" s="39"/>
      <c r="C27" s="39"/>
      <c r="D27" s="39"/>
      <c r="E27" s="38">
        <f>F27+H27+J27+L27+N27</f>
        <v>1</v>
      </c>
      <c r="F27" s="38">
        <v>0</v>
      </c>
      <c r="G27" s="39"/>
      <c r="H27" s="38"/>
      <c r="I27" s="39"/>
      <c r="J27" s="38">
        <v>1</v>
      </c>
      <c r="K27" s="39"/>
      <c r="L27" s="39"/>
      <c r="M27" s="39"/>
      <c r="N27" s="39"/>
      <c r="O27" s="39"/>
    </row>
    <row r="28" spans="1:15" ht="11.45" customHeight="1" x14ac:dyDescent="0.2">
      <c r="A28" s="38" t="s">
        <v>236</v>
      </c>
      <c r="B28" s="39"/>
      <c r="C28" s="39"/>
      <c r="D28" s="39"/>
      <c r="E28" s="38"/>
      <c r="F28" s="38"/>
      <c r="G28" s="39"/>
      <c r="H28" s="38"/>
      <c r="I28" s="39"/>
      <c r="J28" s="38"/>
      <c r="K28" s="39"/>
      <c r="L28" s="39"/>
      <c r="M28" s="39"/>
      <c r="N28" s="39"/>
      <c r="O28" s="39"/>
    </row>
    <row r="29" spans="1:15" ht="11.45" customHeight="1" x14ac:dyDescent="0.2">
      <c r="A29" s="38" t="s">
        <v>237</v>
      </c>
      <c r="B29" s="38"/>
      <c r="C29" s="38"/>
      <c r="D29" s="38"/>
      <c r="E29" s="38"/>
      <c r="F29" s="38"/>
      <c r="G29" s="38">
        <f>3*12.5</f>
        <v>37.5</v>
      </c>
      <c r="H29" s="38"/>
      <c r="I29" s="38">
        <v>12.5</v>
      </c>
      <c r="J29" s="38"/>
      <c r="K29" s="38">
        <v>12.5</v>
      </c>
      <c r="L29" s="38"/>
      <c r="M29" s="38"/>
      <c r="N29" s="38"/>
      <c r="O29" s="38"/>
    </row>
    <row r="30" spans="1:15" ht="11.45" customHeight="1" x14ac:dyDescent="0.2">
      <c r="A30" s="38" t="s">
        <v>255</v>
      </c>
      <c r="B30" s="39"/>
      <c r="C30" s="39"/>
      <c r="D30" s="39"/>
      <c r="E30" s="38"/>
      <c r="F30" s="38"/>
      <c r="G30" s="38">
        <f>G23-G29</f>
        <v>14.44151050768653</v>
      </c>
      <c r="H30" s="38"/>
      <c r="I30" s="38">
        <f>I23-I29</f>
        <v>11.174683477888856</v>
      </c>
      <c r="J30" s="38"/>
      <c r="K30" s="38">
        <f>K23-K29</f>
        <v>1.7906151244495927</v>
      </c>
      <c r="L30" s="39"/>
      <c r="M30" s="38">
        <f>M23-M29</f>
        <v>8.0505789620254191</v>
      </c>
      <c r="N30" s="38"/>
      <c r="O30" s="38">
        <f>O23-O29</f>
        <v>2.0426119279495984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3</v>
      </c>
      <c r="F31" s="53">
        <v>1</v>
      </c>
      <c r="G31" s="53"/>
      <c r="H31" s="53">
        <v>1</v>
      </c>
      <c r="I31" s="53"/>
      <c r="J31" s="53"/>
      <c r="K31" s="52"/>
      <c r="L31" s="53">
        <v>1</v>
      </c>
      <c r="M31" s="52"/>
      <c r="N31" s="52"/>
      <c r="O31" s="52"/>
    </row>
    <row r="32" spans="1:15" ht="11.45" customHeight="1" x14ac:dyDescent="0.2">
      <c r="A32" s="38" t="s">
        <v>239</v>
      </c>
      <c r="B32" s="39"/>
      <c r="C32" s="39"/>
      <c r="D32" s="39"/>
      <c r="E32" s="54">
        <f>E26+E27+E31</f>
        <v>8</v>
      </c>
      <c r="F32" s="38">
        <f>F26+F27+F31</f>
        <v>4</v>
      </c>
      <c r="G32" s="38">
        <f t="shared" ref="G32:O32" si="5">G26+G27+G31</f>
        <v>0</v>
      </c>
      <c r="H32" s="38">
        <f t="shared" si="5"/>
        <v>2</v>
      </c>
      <c r="I32" s="38">
        <f t="shared" si="5"/>
        <v>0</v>
      </c>
      <c r="J32" s="38">
        <f t="shared" si="5"/>
        <v>1</v>
      </c>
      <c r="K32" s="38">
        <f t="shared" si="5"/>
        <v>0</v>
      </c>
      <c r="L32" s="38">
        <f t="shared" si="5"/>
        <v>1</v>
      </c>
      <c r="M32" s="38">
        <f t="shared" si="5"/>
        <v>0</v>
      </c>
      <c r="N32" s="38">
        <f t="shared" si="5"/>
        <v>0</v>
      </c>
      <c r="O32" s="38">
        <f t="shared" si="5"/>
        <v>0</v>
      </c>
    </row>
    <row r="33" spans="1:15" ht="11.45" customHeight="1" x14ac:dyDescent="0.2">
      <c r="A33" s="38" t="s">
        <v>245</v>
      </c>
      <c r="B33" s="39"/>
      <c r="C33" s="39"/>
      <c r="D33" s="39"/>
      <c r="E33" s="60">
        <f>G33+I33+K33+M33</f>
        <v>94.22</v>
      </c>
      <c r="F33" s="38"/>
      <c r="G33" s="38">
        <v>50</v>
      </c>
      <c r="H33" s="38"/>
      <c r="I33" s="38">
        <v>23.67</v>
      </c>
      <c r="J33" s="38"/>
      <c r="K33" s="38">
        <v>12.5</v>
      </c>
      <c r="L33" s="38"/>
      <c r="M33" s="38">
        <v>8.0500000000000007</v>
      </c>
      <c r="N33" s="38"/>
      <c r="O33" s="38"/>
    </row>
    <row r="34" spans="1:15" ht="11.45" customHeight="1" x14ac:dyDescent="0.2">
      <c r="A34" s="38" t="s">
        <v>314</v>
      </c>
      <c r="B34" s="39"/>
      <c r="C34" s="39"/>
      <c r="D34" s="39"/>
      <c r="E34" s="54">
        <f>F34+H34+J34+L34</f>
        <v>233449.83619999999</v>
      </c>
      <c r="F34" s="54">
        <f>G33*$E23/100</f>
        <v>123885.5</v>
      </c>
      <c r="G34" s="38"/>
      <c r="H34" s="38">
        <f>I33*$E23/100</f>
        <v>58647.395700000001</v>
      </c>
      <c r="I34" s="38"/>
      <c r="J34" s="38">
        <f>K33*$E23/100</f>
        <v>30971.375</v>
      </c>
      <c r="K34" s="38"/>
      <c r="L34" s="38">
        <f>M33*$E23/100</f>
        <v>19945.565500000004</v>
      </c>
      <c r="M34" s="38"/>
      <c r="N34" s="38">
        <f>O33*$E23/100</f>
        <v>0</v>
      </c>
      <c r="O34" s="38"/>
    </row>
    <row r="35" spans="1:15" ht="11.45" customHeight="1" x14ac:dyDescent="0.2">
      <c r="A35" s="79" t="s">
        <v>313</v>
      </c>
      <c r="B35" s="80"/>
      <c r="C35" s="80"/>
      <c r="D35" s="80"/>
      <c r="E35" s="68">
        <v>0.94199999999999995</v>
      </c>
      <c r="F35" s="63"/>
      <c r="G35" s="68">
        <v>0.5</v>
      </c>
      <c r="H35" s="63"/>
      <c r="I35" s="68">
        <v>0.23699999999999999</v>
      </c>
      <c r="J35" s="63"/>
      <c r="K35" s="68">
        <v>0.125</v>
      </c>
      <c r="L35" s="63"/>
      <c r="M35" s="68">
        <v>8.0500000000000002E-2</v>
      </c>
      <c r="N35" s="63"/>
      <c r="O35" s="38"/>
    </row>
    <row r="36" spans="1:15" ht="11.45" customHeight="1" x14ac:dyDescent="0.2">
      <c r="A36" s="81" t="s">
        <v>312</v>
      </c>
      <c r="B36" s="82"/>
      <c r="C36" s="82"/>
      <c r="D36" s="82"/>
      <c r="E36" s="62" t="s">
        <v>293</v>
      </c>
      <c r="F36" s="38"/>
      <c r="G36" s="62" t="s">
        <v>291</v>
      </c>
      <c r="H36" s="38"/>
      <c r="I36" s="62" t="s">
        <v>292</v>
      </c>
      <c r="K36" s="62" t="s">
        <v>260</v>
      </c>
      <c r="L36" s="38"/>
      <c r="M36" s="62" t="s">
        <v>260</v>
      </c>
      <c r="N36" s="38"/>
      <c r="O36" s="38"/>
    </row>
    <row r="37" spans="1:15" ht="11.45" customHeight="1" x14ac:dyDescent="0.2">
      <c r="A37" s="38" t="s">
        <v>240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 ht="11.45" customHeight="1" x14ac:dyDescent="0.2">
      <c r="A38" s="38" t="s">
        <v>252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 ht="11.45" customHeight="1" x14ac:dyDescent="0.2">
      <c r="A39" s="61" t="s">
        <v>276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11.45" customHeight="1" x14ac:dyDescent="0.2">
      <c r="A40" s="38" t="s">
        <v>253</v>
      </c>
      <c r="E40" s="28">
        <f>F40+H40+J40+L40+N40</f>
        <v>137542</v>
      </c>
      <c r="F40" s="28">
        <f>F23-F5-F6</f>
        <v>112812</v>
      </c>
      <c r="G40" s="28">
        <f>F40*100/$E23</f>
        <v>45.530752186494787</v>
      </c>
      <c r="H40" s="28">
        <f>H5+H6</f>
        <v>24730</v>
      </c>
      <c r="I40" s="28">
        <f>H40*100/$E23</f>
        <v>9.9809905113996393</v>
      </c>
      <c r="J40" s="28">
        <v>0</v>
      </c>
      <c r="K40" s="28">
        <f>J40*100/$E23</f>
        <v>0</v>
      </c>
      <c r="L40" s="28">
        <v>0</v>
      </c>
      <c r="M40" s="28">
        <f>L40*100/$E23</f>
        <v>0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E41" s="95" t="s">
        <v>293</v>
      </c>
      <c r="F41" s="83"/>
      <c r="G41" s="95" t="s">
        <v>291</v>
      </c>
      <c r="H41" s="83"/>
      <c r="I41" s="95" t="s">
        <v>292</v>
      </c>
      <c r="J41" s="83"/>
      <c r="K41" s="57" t="s">
        <v>260</v>
      </c>
      <c r="L41" s="28"/>
      <c r="M41" s="95" t="s">
        <v>260</v>
      </c>
      <c r="N41" s="28"/>
      <c r="O41" s="95" t="s">
        <v>260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50" zoomScaleNormal="150" workbookViewId="0">
      <pane ySplit="4" topLeftCell="A25" activePane="bottomLeft" state="frozen"/>
      <selection pane="bottomLeft" activeCell="G36" sqref="G36"/>
    </sheetView>
  </sheetViews>
  <sheetFormatPr defaultColWidth="11.5703125" defaultRowHeight="11.45" customHeight="1" x14ac:dyDescent="0.2"/>
  <cols>
    <col min="1" max="1" width="5.5703125" customWidth="1"/>
    <col min="2" max="3" width="5.140625" customWidth="1"/>
    <col min="4" max="4" width="14.7109375" customWidth="1"/>
    <col min="5" max="5" width="6.140625" customWidth="1"/>
    <col min="6" max="6" width="6" customWidth="1"/>
    <col min="7" max="7" width="5" customWidth="1"/>
    <col min="8" max="9" width="5.7109375" customWidth="1"/>
    <col min="10" max="15" width="5" customWidth="1"/>
  </cols>
  <sheetData>
    <row r="1" spans="1:15" ht="12.75" customHeight="1" x14ac:dyDescent="0.2">
      <c r="A1" t="s">
        <v>331</v>
      </c>
    </row>
    <row r="2" spans="1:15" ht="12.75" customHeight="1" x14ac:dyDescent="0.2">
      <c r="A2" s="35" t="s">
        <v>229</v>
      </c>
    </row>
    <row r="3" spans="1:15" ht="12.75" customHeight="1" x14ac:dyDescent="0.2">
      <c r="E3" s="35" t="s">
        <v>205</v>
      </c>
    </row>
    <row r="4" spans="1:15" ht="12.75" customHeight="1" x14ac:dyDescent="0.2">
      <c r="A4" s="36" t="s">
        <v>206</v>
      </c>
      <c r="B4" s="36" t="s">
        <v>207</v>
      </c>
      <c r="C4" s="36" t="s">
        <v>208</v>
      </c>
      <c r="D4" s="37" t="s">
        <v>209</v>
      </c>
      <c r="E4" s="6" t="s">
        <v>4</v>
      </c>
      <c r="F4" s="7" t="s">
        <v>5</v>
      </c>
      <c r="G4" s="7" t="s">
        <v>6</v>
      </c>
      <c r="H4" s="8" t="s">
        <v>7</v>
      </c>
      <c r="I4" s="8" t="s">
        <v>6</v>
      </c>
      <c r="J4" s="9" t="s">
        <v>8</v>
      </c>
      <c r="K4" s="9" t="s">
        <v>6</v>
      </c>
      <c r="L4" s="10" t="s">
        <v>9</v>
      </c>
      <c r="M4" s="10" t="s">
        <v>6</v>
      </c>
      <c r="N4" s="6" t="s">
        <v>10</v>
      </c>
      <c r="O4" s="6" t="s">
        <v>6</v>
      </c>
    </row>
    <row r="5" spans="1:15" ht="11.45" customHeight="1" x14ac:dyDescent="0.2">
      <c r="A5" s="1">
        <v>31</v>
      </c>
      <c r="B5" s="1"/>
      <c r="C5" s="1"/>
      <c r="D5" s="15" t="s">
        <v>185</v>
      </c>
      <c r="E5" s="1">
        <f>F5+H5+J5+L5+N5</f>
        <v>29183</v>
      </c>
      <c r="F5" s="1">
        <v>26883</v>
      </c>
      <c r="G5" s="1">
        <f t="shared" ref="G5:G13" si="0">F5*100/$E5</f>
        <v>92.118699242709795</v>
      </c>
      <c r="H5" s="1">
        <v>524</v>
      </c>
      <c r="I5" s="1">
        <f t="shared" ref="I5:I13" si="1">H5*100/$E5</f>
        <v>1.7955659116608984</v>
      </c>
      <c r="J5" s="1">
        <v>716</v>
      </c>
      <c r="K5" s="1">
        <f t="shared" ref="K5:K13" si="2">J5*100/$E5</f>
        <v>2.4534831922694718</v>
      </c>
      <c r="L5" s="1">
        <v>604</v>
      </c>
      <c r="M5" s="1">
        <f t="shared" ref="M5:M13" si="3">L5*100/$E5</f>
        <v>2.0696981119144708</v>
      </c>
      <c r="N5" s="1">
        <v>456</v>
      </c>
      <c r="O5" s="1">
        <f t="shared" ref="O5:O13" si="4">N5*100/$E5</f>
        <v>1.562553541445362</v>
      </c>
    </row>
    <row r="6" spans="1:15" ht="11.45" customHeight="1" x14ac:dyDescent="0.2">
      <c r="A6" s="1">
        <v>83</v>
      </c>
      <c r="B6" s="1"/>
      <c r="C6" s="1"/>
      <c r="D6" s="15" t="s">
        <v>186</v>
      </c>
      <c r="E6" s="1">
        <f>F6+H6+J6+L6+N6</f>
        <v>29155</v>
      </c>
      <c r="F6" s="1">
        <v>22336</v>
      </c>
      <c r="G6" s="1">
        <f t="shared" si="0"/>
        <v>76.611215914937404</v>
      </c>
      <c r="H6" s="1">
        <v>1610</v>
      </c>
      <c r="I6" s="1">
        <f t="shared" si="1"/>
        <v>5.5222088835534215</v>
      </c>
      <c r="J6" s="1">
        <v>1649</v>
      </c>
      <c r="K6" s="1">
        <f t="shared" si="2"/>
        <v>5.6559766763848396</v>
      </c>
      <c r="L6" s="1">
        <v>2164</v>
      </c>
      <c r="M6" s="1">
        <f t="shared" si="3"/>
        <v>7.4223975304407475</v>
      </c>
      <c r="N6" s="1">
        <f>1318+78</f>
        <v>1396</v>
      </c>
      <c r="O6" s="1">
        <f t="shared" si="4"/>
        <v>4.7882009946835877</v>
      </c>
    </row>
    <row r="7" spans="1:15" ht="11.45" customHeight="1" x14ac:dyDescent="0.2">
      <c r="A7" s="1"/>
      <c r="B7" s="1">
        <v>58</v>
      </c>
      <c r="C7" s="5" t="s">
        <v>5</v>
      </c>
      <c r="D7" s="15" t="s">
        <v>187</v>
      </c>
      <c r="E7" s="16">
        <f>E5+E6</f>
        <v>58338</v>
      </c>
      <c r="F7" s="16">
        <f>F5+F6</f>
        <v>49219</v>
      </c>
      <c r="G7" s="16">
        <f t="shared" si="0"/>
        <v>84.368679077102399</v>
      </c>
      <c r="H7" s="16">
        <f>H5+H6</f>
        <v>2134</v>
      </c>
      <c r="I7" s="16">
        <f t="shared" si="1"/>
        <v>3.6579930748397271</v>
      </c>
      <c r="J7" s="16">
        <f>J5+J6</f>
        <v>2365</v>
      </c>
      <c r="K7" s="16">
        <f t="shared" si="2"/>
        <v>4.0539613973739241</v>
      </c>
      <c r="L7" s="16">
        <f>L5+L6</f>
        <v>2768</v>
      </c>
      <c r="M7" s="16">
        <f t="shared" si="3"/>
        <v>4.7447632760807705</v>
      </c>
      <c r="N7" s="16">
        <f>N5+N6</f>
        <v>1852</v>
      </c>
      <c r="O7" s="16">
        <f t="shared" si="4"/>
        <v>3.1746031746031744</v>
      </c>
    </row>
    <row r="8" spans="1:15" ht="11.45" customHeight="1" x14ac:dyDescent="0.2">
      <c r="A8" s="1">
        <v>68</v>
      </c>
      <c r="B8" s="1"/>
      <c r="C8" s="1"/>
      <c r="D8" s="15" t="s">
        <v>188</v>
      </c>
      <c r="E8" s="1">
        <f>F8+H8+J8+L8+N8</f>
        <v>37408</v>
      </c>
      <c r="F8" s="1">
        <v>26344</v>
      </c>
      <c r="G8" s="1">
        <f t="shared" si="0"/>
        <v>70.42343883661249</v>
      </c>
      <c r="H8" s="1">
        <v>5095</v>
      </c>
      <c r="I8" s="1">
        <f t="shared" si="1"/>
        <v>13.62008126603935</v>
      </c>
      <c r="J8" s="1">
        <v>3683</v>
      </c>
      <c r="K8" s="1">
        <f t="shared" si="2"/>
        <v>9.845487596236099</v>
      </c>
      <c r="L8" s="1">
        <v>1491</v>
      </c>
      <c r="M8" s="1">
        <f t="shared" si="3"/>
        <v>3.9857784431137726</v>
      </c>
      <c r="N8" s="1">
        <f>618+177</f>
        <v>795</v>
      </c>
      <c r="O8" s="1">
        <f t="shared" si="4"/>
        <v>2.1252138579982893</v>
      </c>
    </row>
    <row r="9" spans="1:15" ht="11.45" customHeight="1" x14ac:dyDescent="0.2">
      <c r="A9" s="1">
        <v>122</v>
      </c>
      <c r="B9" s="1"/>
      <c r="C9" s="1"/>
      <c r="D9" s="15" t="s">
        <v>189</v>
      </c>
      <c r="E9" s="1">
        <f>F9+H9+J9+L9+N9</f>
        <v>33972</v>
      </c>
      <c r="F9" s="1">
        <v>17194</v>
      </c>
      <c r="G9" s="1">
        <f t="shared" si="0"/>
        <v>50.612268927351934</v>
      </c>
      <c r="H9" s="1">
        <v>8289</v>
      </c>
      <c r="I9" s="1">
        <f t="shared" si="1"/>
        <v>24.39950547509714</v>
      </c>
      <c r="J9" s="1">
        <v>4152</v>
      </c>
      <c r="K9" s="1">
        <f t="shared" si="2"/>
        <v>12.221829742140587</v>
      </c>
      <c r="L9" s="1">
        <v>3266</v>
      </c>
      <c r="M9" s="1">
        <f t="shared" si="3"/>
        <v>9.6137995996703172</v>
      </c>
      <c r="N9" s="1">
        <f>713+159+157+42</f>
        <v>1071</v>
      </c>
      <c r="O9" s="1">
        <f t="shared" si="4"/>
        <v>3.1525962557400211</v>
      </c>
    </row>
    <row r="10" spans="1:15" ht="11.45" customHeight="1" x14ac:dyDescent="0.2">
      <c r="A10" s="1"/>
      <c r="B10" s="1">
        <v>59</v>
      </c>
      <c r="C10" s="5" t="s">
        <v>5</v>
      </c>
      <c r="D10" s="15" t="s">
        <v>190</v>
      </c>
      <c r="E10" s="16">
        <f>E8+E9</f>
        <v>71380</v>
      </c>
      <c r="F10" s="16">
        <f>F8+F9</f>
        <v>43538</v>
      </c>
      <c r="G10" s="16">
        <f t="shared" si="0"/>
        <v>60.994676379938355</v>
      </c>
      <c r="H10" s="16">
        <f>H8+H9</f>
        <v>13384</v>
      </c>
      <c r="I10" s="16">
        <f t="shared" si="1"/>
        <v>18.75035023816195</v>
      </c>
      <c r="J10" s="16">
        <f>J8+J9</f>
        <v>7835</v>
      </c>
      <c r="K10" s="16">
        <f t="shared" si="2"/>
        <v>10.976463995516951</v>
      </c>
      <c r="L10" s="16">
        <f>L8+L9</f>
        <v>4757</v>
      </c>
      <c r="M10" s="16">
        <f t="shared" si="3"/>
        <v>6.664331745586999</v>
      </c>
      <c r="N10" s="16">
        <f>N8+N9</f>
        <v>1866</v>
      </c>
      <c r="O10" s="16">
        <f t="shared" si="4"/>
        <v>2.6141776407957411</v>
      </c>
    </row>
    <row r="11" spans="1:15" ht="11.45" customHeight="1" x14ac:dyDescent="0.2">
      <c r="A11" s="1">
        <v>102</v>
      </c>
      <c r="B11" s="1"/>
      <c r="C11" s="1"/>
      <c r="D11" s="15" t="s">
        <v>191</v>
      </c>
      <c r="E11" s="1">
        <f>F11+H11+J11+L11+N11</f>
        <v>37487</v>
      </c>
      <c r="F11" s="1">
        <v>19234</v>
      </c>
      <c r="G11" s="1">
        <f t="shared" si="0"/>
        <v>51.308453597247045</v>
      </c>
      <c r="H11" s="1">
        <v>8505</v>
      </c>
      <c r="I11" s="1">
        <f t="shared" si="1"/>
        <v>22.687865126577215</v>
      </c>
      <c r="J11" s="1">
        <v>4343</v>
      </c>
      <c r="K11" s="1">
        <f t="shared" si="2"/>
        <v>11.585349587857124</v>
      </c>
      <c r="L11" s="1">
        <v>4029</v>
      </c>
      <c r="M11" s="1">
        <f t="shared" si="3"/>
        <v>10.747725878304479</v>
      </c>
      <c r="N11" s="1">
        <f>690+289+224+173</f>
        <v>1376</v>
      </c>
      <c r="O11" s="1">
        <f t="shared" si="4"/>
        <v>3.6706058100141381</v>
      </c>
    </row>
    <row r="12" spans="1:15" ht="11.45" customHeight="1" x14ac:dyDescent="0.2">
      <c r="A12" s="1">
        <v>125</v>
      </c>
      <c r="B12" s="1"/>
      <c r="C12" s="1"/>
      <c r="D12" s="15" t="s">
        <v>192</v>
      </c>
      <c r="E12" s="1">
        <f>F12+H12+J12+L12+N12</f>
        <v>24395</v>
      </c>
      <c r="F12" s="1">
        <v>20297</v>
      </c>
      <c r="G12" s="1">
        <f t="shared" si="0"/>
        <v>83.201475712236117</v>
      </c>
      <c r="H12" s="1">
        <v>1594</v>
      </c>
      <c r="I12" s="1">
        <f t="shared" si="1"/>
        <v>6.5341258454601352</v>
      </c>
      <c r="J12" s="1">
        <v>0</v>
      </c>
      <c r="K12" s="1">
        <f t="shared" si="2"/>
        <v>0</v>
      </c>
      <c r="L12" s="1">
        <v>1523</v>
      </c>
      <c r="M12" s="1">
        <f t="shared" si="3"/>
        <v>6.2430825988932162</v>
      </c>
      <c r="N12" s="1">
        <v>981</v>
      </c>
      <c r="O12" s="1">
        <f t="shared" si="4"/>
        <v>4.0213158434105347</v>
      </c>
    </row>
    <row r="13" spans="1:15" ht="11.45" customHeight="1" x14ac:dyDescent="0.2">
      <c r="A13" s="5"/>
      <c r="B13" s="5">
        <v>60</v>
      </c>
      <c r="C13" s="5" t="s">
        <v>5</v>
      </c>
      <c r="D13" s="18" t="s">
        <v>193</v>
      </c>
      <c r="E13" s="12">
        <f>E11+E12</f>
        <v>61882</v>
      </c>
      <c r="F13" s="12">
        <f>F11+F12</f>
        <v>39531</v>
      </c>
      <c r="G13" s="12">
        <f t="shared" si="0"/>
        <v>63.881257877896644</v>
      </c>
      <c r="H13" s="12">
        <f>H11+H12</f>
        <v>10099</v>
      </c>
      <c r="I13" s="12">
        <f t="shared" si="1"/>
        <v>16.319769884619113</v>
      </c>
      <c r="J13" s="12">
        <f>J11+J12</f>
        <v>4343</v>
      </c>
      <c r="K13" s="12">
        <f t="shared" si="2"/>
        <v>7.0181959212695126</v>
      </c>
      <c r="L13" s="12">
        <f>L11+L12</f>
        <v>5552</v>
      </c>
      <c r="M13" s="12">
        <f t="shared" si="3"/>
        <v>8.9719142884845358</v>
      </c>
      <c r="N13" s="12">
        <f>N11+N12</f>
        <v>2357</v>
      </c>
      <c r="O13" s="12">
        <f t="shared" si="4"/>
        <v>3.8088620277301963</v>
      </c>
    </row>
    <row r="21" spans="1:15" ht="11.45" customHeight="1" x14ac:dyDescent="0.2">
      <c r="A21" s="39" t="s">
        <v>210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11.45" customHeight="1" x14ac:dyDescent="0.2">
      <c r="A22" s="55" t="s">
        <v>231</v>
      </c>
      <c r="B22" s="39"/>
      <c r="C22" s="39"/>
      <c r="D22" s="39"/>
      <c r="E22" s="51">
        <v>6</v>
      </c>
      <c r="F22" s="51">
        <v>6</v>
      </c>
      <c r="G22" s="39"/>
      <c r="H22" s="38">
        <v>0</v>
      </c>
      <c r="I22" s="38"/>
      <c r="J22" s="38">
        <v>0</v>
      </c>
      <c r="K22" s="38"/>
      <c r="L22" s="38">
        <v>0</v>
      </c>
      <c r="M22" s="39"/>
      <c r="N22" s="39"/>
      <c r="O22" s="39"/>
    </row>
    <row r="23" spans="1:15" ht="11.45" customHeight="1" x14ac:dyDescent="0.2">
      <c r="A23" s="55" t="s">
        <v>232</v>
      </c>
      <c r="B23" s="39"/>
      <c r="C23" s="39"/>
      <c r="D23" s="39"/>
      <c r="E23" s="1">
        <f>E7+E10+E13+E16+E19</f>
        <v>191600</v>
      </c>
      <c r="F23" s="1">
        <f>F7+F10+F13+F16+F19</f>
        <v>132288</v>
      </c>
      <c r="G23" s="1">
        <f>F23*100/$E23</f>
        <v>69.043841336116913</v>
      </c>
      <c r="H23" s="1">
        <f>H7+H10+H13+H16+H19</f>
        <v>25617</v>
      </c>
      <c r="I23" s="1">
        <f>H23*100/$E23</f>
        <v>13.370041753653444</v>
      </c>
      <c r="J23" s="1">
        <f>J7+J10+J13+J16+J19</f>
        <v>14543</v>
      </c>
      <c r="K23" s="1">
        <f>J23*100/$E23</f>
        <v>7.5902922755741127</v>
      </c>
      <c r="L23" s="1">
        <f>L7+L10+L13+L16+L19</f>
        <v>13077</v>
      </c>
      <c r="M23" s="1">
        <f>L23*100/$E23</f>
        <v>6.8251565762004178</v>
      </c>
      <c r="N23" s="1">
        <f>N7+N10+N13+N16+N19</f>
        <v>6075</v>
      </c>
      <c r="O23" s="1">
        <f>N23*100/$E23</f>
        <v>3.170668058455115</v>
      </c>
    </row>
    <row r="24" spans="1:15" s="28" customFormat="1" ht="11.45" customHeight="1" x14ac:dyDescent="0.2">
      <c r="A24" s="55"/>
      <c r="B24" s="39"/>
      <c r="C24" s="39"/>
      <c r="D24" s="3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11.45" customHeight="1" x14ac:dyDescent="0.2">
      <c r="A25" s="55" t="s">
        <v>241</v>
      </c>
      <c r="B25" s="39"/>
      <c r="C25" s="39"/>
      <c r="D25" s="3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1.45" customHeight="1" x14ac:dyDescent="0.2">
      <c r="A26" s="38" t="s">
        <v>233</v>
      </c>
      <c r="B26" s="39"/>
      <c r="C26" s="39"/>
      <c r="D26" s="39"/>
      <c r="E26" s="38">
        <f>F26+H26+J26+L26+N26</f>
        <v>3</v>
      </c>
      <c r="F26" s="38">
        <v>3</v>
      </c>
      <c r="G26" s="39"/>
      <c r="H26" s="38">
        <v>0</v>
      </c>
      <c r="I26" s="39"/>
      <c r="J26" s="38">
        <v>0</v>
      </c>
      <c r="K26" s="39"/>
      <c r="L26" s="38">
        <v>0</v>
      </c>
      <c r="M26" s="39"/>
      <c r="N26" s="39"/>
      <c r="O26" s="39"/>
    </row>
    <row r="27" spans="1:15" ht="11.45" customHeight="1" x14ac:dyDescent="0.2">
      <c r="A27" s="38" t="s">
        <v>234</v>
      </c>
      <c r="B27" s="39"/>
      <c r="C27" s="39"/>
      <c r="D27" s="39"/>
      <c r="E27" s="38">
        <f>F27+H27+J27+L27+N27</f>
        <v>0</v>
      </c>
      <c r="F27" s="38">
        <v>0</v>
      </c>
      <c r="G27" s="39"/>
      <c r="H27" s="38">
        <v>0</v>
      </c>
      <c r="I27" s="39"/>
      <c r="J27" s="38">
        <v>0</v>
      </c>
      <c r="K27" s="39"/>
      <c r="L27" s="39"/>
      <c r="M27" s="39"/>
      <c r="N27" s="39"/>
      <c r="O27" s="39"/>
    </row>
    <row r="28" spans="1:15" ht="11.45" customHeight="1" x14ac:dyDescent="0.2">
      <c r="A28" s="38" t="s">
        <v>244</v>
      </c>
      <c r="B28" s="39"/>
      <c r="C28" s="39"/>
      <c r="D28" s="39"/>
      <c r="E28" s="38"/>
      <c r="F28" s="38"/>
      <c r="G28" s="39"/>
      <c r="H28" s="38"/>
      <c r="I28" s="39"/>
      <c r="J28" s="38"/>
      <c r="K28" s="39"/>
      <c r="L28" s="39"/>
      <c r="M28" s="39"/>
      <c r="N28" s="39"/>
      <c r="O28" s="39"/>
    </row>
    <row r="29" spans="1:15" ht="11.45" customHeight="1" x14ac:dyDescent="0.2">
      <c r="A29" s="38" t="s">
        <v>237</v>
      </c>
      <c r="B29" s="38"/>
      <c r="C29" s="38"/>
      <c r="D29" s="38"/>
      <c r="E29" s="38"/>
      <c r="F29" s="38"/>
      <c r="G29" s="38">
        <f>3*16.67</f>
        <v>50.010000000000005</v>
      </c>
      <c r="H29" s="38"/>
      <c r="I29" s="38"/>
      <c r="J29" s="38"/>
      <c r="K29" s="38"/>
      <c r="L29" s="38"/>
      <c r="M29" s="38"/>
      <c r="N29" s="38"/>
      <c r="O29" s="38"/>
    </row>
    <row r="30" spans="1:15" ht="11.45" customHeight="1" x14ac:dyDescent="0.2">
      <c r="A30" s="38" t="s">
        <v>255</v>
      </c>
      <c r="B30" s="39"/>
      <c r="C30" s="39"/>
      <c r="D30" s="39"/>
      <c r="E30" s="38"/>
      <c r="F30" s="38"/>
      <c r="G30" s="38">
        <f>G23-G29</f>
        <v>19.033841336116907</v>
      </c>
      <c r="H30" s="38"/>
      <c r="I30" s="38">
        <f>I23-I29</f>
        <v>13.370041753653444</v>
      </c>
      <c r="J30" s="38"/>
      <c r="K30" s="38">
        <f>K23-K29</f>
        <v>7.5902922755741127</v>
      </c>
      <c r="L30" s="39"/>
      <c r="M30" s="38">
        <v>6.83</v>
      </c>
      <c r="N30" s="38"/>
      <c r="O30" s="38">
        <v>3.17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3</v>
      </c>
      <c r="F31" s="53">
        <v>1</v>
      </c>
      <c r="G31" s="53"/>
      <c r="H31" s="53">
        <v>1</v>
      </c>
      <c r="I31" s="53"/>
      <c r="J31" s="53">
        <v>1</v>
      </c>
      <c r="K31" s="52"/>
      <c r="L31" s="53"/>
      <c r="M31" s="52"/>
      <c r="N31" s="52"/>
      <c r="O31" s="52"/>
    </row>
    <row r="32" spans="1:15" ht="11.45" customHeight="1" x14ac:dyDescent="0.2">
      <c r="A32" s="38" t="s">
        <v>239</v>
      </c>
      <c r="B32" s="39"/>
      <c r="C32" s="39"/>
      <c r="D32" s="39"/>
      <c r="E32" s="54">
        <f>E26+E27+E31</f>
        <v>6</v>
      </c>
      <c r="F32" s="38">
        <f>F26+F27+F31</f>
        <v>4</v>
      </c>
      <c r="G32" s="38">
        <f t="shared" ref="G32:O32" si="5">G27+G31</f>
        <v>0</v>
      </c>
      <c r="H32" s="38">
        <f t="shared" si="5"/>
        <v>1</v>
      </c>
      <c r="I32" s="38">
        <f t="shared" si="5"/>
        <v>0</v>
      </c>
      <c r="J32" s="38">
        <f t="shared" si="5"/>
        <v>1</v>
      </c>
      <c r="K32" s="38">
        <f t="shared" si="5"/>
        <v>0</v>
      </c>
      <c r="L32" s="38">
        <f t="shared" si="5"/>
        <v>0</v>
      </c>
      <c r="M32" s="38">
        <f t="shared" si="5"/>
        <v>0</v>
      </c>
      <c r="N32" s="38">
        <f t="shared" si="5"/>
        <v>0</v>
      </c>
      <c r="O32" s="38">
        <f t="shared" si="5"/>
        <v>0</v>
      </c>
    </row>
    <row r="33" spans="1:15" ht="11.45" customHeight="1" x14ac:dyDescent="0.2">
      <c r="A33" s="38" t="s">
        <v>245</v>
      </c>
      <c r="B33" s="39"/>
      <c r="C33" s="39"/>
      <c r="D33" s="39"/>
      <c r="E33" s="54">
        <f>G33+I33+K33+M33</f>
        <v>87.660000000000011</v>
      </c>
      <c r="F33" s="38"/>
      <c r="G33" s="38">
        <v>66.7</v>
      </c>
      <c r="H33" s="38"/>
      <c r="I33" s="38">
        <v>13.37</v>
      </c>
      <c r="J33" s="38"/>
      <c r="K33" s="38">
        <v>7.59</v>
      </c>
      <c r="L33" s="38"/>
      <c r="M33" s="38"/>
      <c r="N33" s="38"/>
      <c r="O33" s="38"/>
    </row>
    <row r="34" spans="1:15" ht="11.45" customHeight="1" x14ac:dyDescent="0.2">
      <c r="A34" s="38" t="s">
        <v>314</v>
      </c>
      <c r="B34" s="64"/>
      <c r="C34" s="64"/>
      <c r="D34" s="64"/>
      <c r="E34" s="70">
        <f>F34+H34+J34+L34</f>
        <v>167956.56</v>
      </c>
      <c r="F34" s="70">
        <f>G33*$E23/100</f>
        <v>127797.2</v>
      </c>
      <c r="G34" s="71"/>
      <c r="H34" s="70">
        <f>I33*$E23/100</f>
        <v>25616.92</v>
      </c>
      <c r="I34" s="71"/>
      <c r="J34" s="70">
        <f>K33*$E23/100</f>
        <v>14542.44</v>
      </c>
      <c r="K34" s="71"/>
      <c r="L34" s="71">
        <f>M33*$E23/100</f>
        <v>0</v>
      </c>
      <c r="M34" s="71"/>
      <c r="N34" s="71">
        <f>O33*$E23/100</f>
        <v>0</v>
      </c>
      <c r="O34" s="38"/>
    </row>
    <row r="35" spans="1:15" ht="11.45" customHeight="1" x14ac:dyDescent="0.2">
      <c r="A35" s="79" t="s">
        <v>313</v>
      </c>
      <c r="B35" s="80"/>
      <c r="C35" s="80"/>
      <c r="D35" s="80"/>
      <c r="E35" s="59">
        <v>0.88</v>
      </c>
      <c r="F35" s="38"/>
      <c r="G35" s="59">
        <v>0.66700000000000004</v>
      </c>
      <c r="H35" s="38"/>
      <c r="I35" s="59">
        <v>0.13400000000000001</v>
      </c>
      <c r="J35" s="38"/>
      <c r="K35" s="59">
        <v>7.5899999999999995E-2</v>
      </c>
      <c r="L35" s="38"/>
      <c r="M35" s="38"/>
      <c r="N35" s="38"/>
      <c r="O35" s="38"/>
    </row>
    <row r="36" spans="1:15" ht="11.45" customHeight="1" x14ac:dyDescent="0.2">
      <c r="A36" s="81" t="s">
        <v>312</v>
      </c>
      <c r="B36" s="82"/>
      <c r="C36" s="82"/>
      <c r="D36" s="82"/>
      <c r="E36" s="62" t="s">
        <v>294</v>
      </c>
      <c r="F36" s="38"/>
      <c r="G36" s="62" t="s">
        <v>294</v>
      </c>
      <c r="H36" s="38"/>
      <c r="I36" s="62" t="s">
        <v>260</v>
      </c>
      <c r="K36" s="62" t="s">
        <v>260</v>
      </c>
      <c r="L36" s="38"/>
      <c r="M36" s="62" t="s">
        <v>260</v>
      </c>
      <c r="N36" s="38"/>
    </row>
    <row r="37" spans="1:15" ht="11.45" customHeight="1" x14ac:dyDescent="0.2">
      <c r="A37" s="38" t="s">
        <v>240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 ht="11.45" customHeight="1" x14ac:dyDescent="0.2">
      <c r="A38" s="38" t="s">
        <v>252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 ht="11.45" customHeight="1" x14ac:dyDescent="0.2">
      <c r="A39" s="61" t="s">
        <v>276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11.45" customHeight="1" x14ac:dyDescent="0.2">
      <c r="A40" s="38" t="s">
        <v>253</v>
      </c>
      <c r="E40" s="28">
        <f>F40+H40+J40+L40+N40</f>
        <v>132288</v>
      </c>
      <c r="F40" s="28">
        <f>F23</f>
        <v>132288</v>
      </c>
      <c r="G40" s="28">
        <f>F40*100/$E23</f>
        <v>69.043841336116913</v>
      </c>
      <c r="H40" s="28">
        <v>0</v>
      </c>
      <c r="I40" s="28">
        <f>H40*100/$E23</f>
        <v>0</v>
      </c>
      <c r="J40" s="28">
        <v>0</v>
      </c>
      <c r="K40" s="28">
        <f>J40*100/$E23</f>
        <v>0</v>
      </c>
      <c r="L40" s="28">
        <v>0</v>
      </c>
      <c r="M40" s="28">
        <f>L40*100/$E23</f>
        <v>0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E41" s="95" t="s">
        <v>330</v>
      </c>
      <c r="F41" s="83"/>
      <c r="G41" s="95" t="s">
        <v>330</v>
      </c>
      <c r="H41" s="83"/>
      <c r="I41" s="95" t="s">
        <v>260</v>
      </c>
      <c r="J41" s="83"/>
      <c r="K41" s="57" t="s">
        <v>260</v>
      </c>
      <c r="L41" s="28"/>
      <c r="M41" s="95" t="s">
        <v>260</v>
      </c>
      <c r="N41" s="28"/>
      <c r="O41" s="95" t="s">
        <v>260</v>
      </c>
    </row>
  </sheetData>
  <sheetProtection selectLockedCells="1" selectUnlockedCells="1"/>
  <pageMargins left="0.78740157480314965" right="0.78740157480314965" top="1.0629921259842521" bottom="1.0629921259842521" header="0.78740157480314965" footer="0.78740157480314965"/>
  <pageSetup firstPageNumber="0" orientation="portrait" horizontalDpi="300" verticalDpi="300" r:id="rId1"/>
  <headerFooter alignWithMargins="0">
    <oddHeader>&amp;C&amp;"Times New Roman,Regular"&amp;12&amp;A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50" zoomScaleNormal="150" workbookViewId="0">
      <pane ySplit="4" topLeftCell="A22" activePane="bottomLeft" state="frozen"/>
      <selection pane="bottomLeft" activeCell="E29" sqref="E29"/>
    </sheetView>
  </sheetViews>
  <sheetFormatPr defaultColWidth="11.5703125" defaultRowHeight="11.45" customHeight="1" x14ac:dyDescent="0.2"/>
  <cols>
    <col min="1" max="1" width="5.5703125" customWidth="1"/>
    <col min="2" max="3" width="5.140625" customWidth="1"/>
    <col min="4" max="4" width="13.5703125" customWidth="1"/>
    <col min="5" max="5" width="5.85546875" customWidth="1"/>
    <col min="6" max="6" width="6" customWidth="1"/>
    <col min="7" max="8" width="5" customWidth="1"/>
    <col min="9" max="9" width="5.7109375" customWidth="1"/>
    <col min="10" max="15" width="5" customWidth="1"/>
  </cols>
  <sheetData>
    <row r="1" spans="1:15" ht="12.75" customHeight="1" x14ac:dyDescent="0.2">
      <c r="A1" t="s">
        <v>331</v>
      </c>
    </row>
    <row r="2" spans="1:15" ht="12.75" customHeight="1" x14ac:dyDescent="0.2">
      <c r="A2" s="35" t="s">
        <v>230</v>
      </c>
    </row>
    <row r="3" spans="1:15" ht="12.75" customHeight="1" x14ac:dyDescent="0.2">
      <c r="E3" s="35" t="s">
        <v>205</v>
      </c>
    </row>
    <row r="4" spans="1:15" ht="12.75" customHeight="1" x14ac:dyDescent="0.2">
      <c r="A4" s="36" t="s">
        <v>206</v>
      </c>
      <c r="B4" s="36" t="s">
        <v>207</v>
      </c>
      <c r="C4" s="36" t="s">
        <v>208</v>
      </c>
      <c r="D4" s="37" t="s">
        <v>209</v>
      </c>
      <c r="E4" s="6" t="s">
        <v>4</v>
      </c>
      <c r="F4" s="7" t="s">
        <v>5</v>
      </c>
      <c r="G4" s="7" t="s">
        <v>6</v>
      </c>
      <c r="H4" s="8" t="s">
        <v>7</v>
      </c>
      <c r="I4" s="8" t="s">
        <v>6</v>
      </c>
      <c r="J4" s="9" t="s">
        <v>8</v>
      </c>
      <c r="K4" s="9" t="s">
        <v>6</v>
      </c>
      <c r="L4" s="10" t="s">
        <v>9</v>
      </c>
      <c r="M4" s="10" t="s">
        <v>6</v>
      </c>
      <c r="N4" s="6" t="s">
        <v>10</v>
      </c>
      <c r="O4" s="6" t="s">
        <v>6</v>
      </c>
    </row>
    <row r="5" spans="1:15" ht="11.45" customHeight="1" x14ac:dyDescent="0.2">
      <c r="A5" s="1">
        <v>109</v>
      </c>
      <c r="B5" s="1"/>
      <c r="C5" s="1"/>
      <c r="D5" s="15" t="s">
        <v>195</v>
      </c>
      <c r="E5" s="1">
        <f>F5+H5+J5+L5+N5</f>
        <v>39077</v>
      </c>
      <c r="F5" s="1">
        <v>16420</v>
      </c>
      <c r="G5" s="1">
        <f t="shared" ref="G5:G13" si="0">F5*100/$E5</f>
        <v>42.019602323617477</v>
      </c>
      <c r="H5" s="1">
        <v>10701</v>
      </c>
      <c r="I5" s="1">
        <f t="shared" ref="I5:I13" si="1">H5*100/$E5</f>
        <v>27.384394912608439</v>
      </c>
      <c r="J5" s="1">
        <v>9413</v>
      </c>
      <c r="K5" s="1">
        <f t="shared" ref="K5:K13" si="2">J5*100/$E5</f>
        <v>24.088338408782661</v>
      </c>
      <c r="L5" s="1">
        <v>2264</v>
      </c>
      <c r="M5" s="1">
        <f t="shared" ref="M5:M13" si="3">L5*100/$E5</f>
        <v>5.7936893825012152</v>
      </c>
      <c r="N5" s="1">
        <v>279</v>
      </c>
      <c r="O5" s="1">
        <f t="shared" ref="O5:O13" si="4">N5*100/$E5</f>
        <v>0.71397497249021158</v>
      </c>
    </row>
    <row r="6" spans="1:15" ht="11.45" customHeight="1" x14ac:dyDescent="0.2">
      <c r="A6" s="1">
        <v>36</v>
      </c>
      <c r="B6" s="1"/>
      <c r="C6" s="1"/>
      <c r="D6" s="15" t="s">
        <v>196</v>
      </c>
      <c r="E6" s="1">
        <f>F6+H6+J6+L6+N6</f>
        <v>37277</v>
      </c>
      <c r="F6" s="16">
        <v>20574</v>
      </c>
      <c r="G6" s="1">
        <f t="shared" si="0"/>
        <v>55.192209673525227</v>
      </c>
      <c r="H6" s="16">
        <v>7760</v>
      </c>
      <c r="I6" s="1">
        <f t="shared" si="1"/>
        <v>20.817125841671807</v>
      </c>
      <c r="J6" s="16">
        <v>6635</v>
      </c>
      <c r="K6" s="1">
        <f t="shared" si="2"/>
        <v>17.799179118491296</v>
      </c>
      <c r="L6" s="16">
        <v>2122</v>
      </c>
      <c r="M6" s="1">
        <f t="shared" si="3"/>
        <v>5.692518174745822</v>
      </c>
      <c r="N6" s="16">
        <v>186</v>
      </c>
      <c r="O6" s="1">
        <f t="shared" si="4"/>
        <v>0.4989671915658449</v>
      </c>
    </row>
    <row r="7" spans="1:15" ht="11.45" customHeight="1" x14ac:dyDescent="0.2">
      <c r="A7" s="1"/>
      <c r="B7" s="1">
        <v>61</v>
      </c>
      <c r="C7" s="5" t="s">
        <v>5</v>
      </c>
      <c r="D7" s="15" t="s">
        <v>197</v>
      </c>
      <c r="E7" s="16">
        <f>E5+E6</f>
        <v>76354</v>
      </c>
      <c r="F7" s="16">
        <f>F5+F6</f>
        <v>36994</v>
      </c>
      <c r="G7" s="16">
        <f t="shared" si="0"/>
        <v>48.450637818581868</v>
      </c>
      <c r="H7" s="16">
        <f>H5+H6</f>
        <v>18461</v>
      </c>
      <c r="I7" s="16">
        <f t="shared" si="1"/>
        <v>24.178170102417685</v>
      </c>
      <c r="J7" s="16">
        <f>J5+J6</f>
        <v>16048</v>
      </c>
      <c r="K7" s="16">
        <f t="shared" si="2"/>
        <v>21.017890352830239</v>
      </c>
      <c r="L7" s="16">
        <f>L5+L6</f>
        <v>4386</v>
      </c>
      <c r="M7" s="16">
        <f t="shared" si="3"/>
        <v>5.7442963040574169</v>
      </c>
      <c r="N7" s="16">
        <f>N5+N6</f>
        <v>465</v>
      </c>
      <c r="O7" s="16">
        <f t="shared" si="4"/>
        <v>0.60900542211279041</v>
      </c>
    </row>
    <row r="8" spans="1:15" ht="11.45" customHeight="1" x14ac:dyDescent="0.2">
      <c r="A8" s="1">
        <v>76</v>
      </c>
      <c r="B8" s="1"/>
      <c r="C8" s="1"/>
      <c r="D8" s="15" t="s">
        <v>198</v>
      </c>
      <c r="E8" s="1">
        <f>F8+H8+J8+L8+N8</f>
        <v>32669</v>
      </c>
      <c r="F8" s="1">
        <v>16500</v>
      </c>
      <c r="G8" s="1">
        <f t="shared" si="0"/>
        <v>50.506596467599252</v>
      </c>
      <c r="H8" s="1">
        <v>8339</v>
      </c>
      <c r="I8" s="1">
        <f t="shared" si="1"/>
        <v>25.525727754140011</v>
      </c>
      <c r="J8" s="1">
        <v>5757</v>
      </c>
      <c r="K8" s="1">
        <f t="shared" si="2"/>
        <v>17.622210658422357</v>
      </c>
      <c r="L8" s="1">
        <v>1545</v>
      </c>
      <c r="M8" s="1">
        <f t="shared" si="3"/>
        <v>4.7292540328752031</v>
      </c>
      <c r="N8" s="1">
        <f>348+97+83</f>
        <v>528</v>
      </c>
      <c r="O8" s="1">
        <f t="shared" si="4"/>
        <v>1.6162110869631761</v>
      </c>
    </row>
    <row r="9" spans="1:15" ht="11.45" customHeight="1" x14ac:dyDescent="0.2">
      <c r="A9" s="1">
        <v>124</v>
      </c>
      <c r="B9" s="1"/>
      <c r="C9" s="1"/>
      <c r="D9" s="15" t="s">
        <v>199</v>
      </c>
      <c r="E9" s="1">
        <f>F9+H9+J9+L9+N9</f>
        <v>34844</v>
      </c>
      <c r="F9" s="1">
        <v>17582</v>
      </c>
      <c r="G9" s="1">
        <f t="shared" si="0"/>
        <v>50.459189530478703</v>
      </c>
      <c r="H9" s="1">
        <v>8160</v>
      </c>
      <c r="I9" s="1">
        <f t="shared" si="1"/>
        <v>23.418666054413958</v>
      </c>
      <c r="J9" s="1">
        <v>6641</v>
      </c>
      <c r="K9" s="1">
        <f t="shared" si="2"/>
        <v>19.059235449431753</v>
      </c>
      <c r="L9" s="1">
        <v>1676</v>
      </c>
      <c r="M9" s="1">
        <f t="shared" si="3"/>
        <v>4.8100103317644356</v>
      </c>
      <c r="N9" s="1">
        <f>372+192+117+104</f>
        <v>785</v>
      </c>
      <c r="O9" s="1">
        <f t="shared" si="4"/>
        <v>2.2528986339111468</v>
      </c>
    </row>
    <row r="10" spans="1:15" ht="11.45" customHeight="1" x14ac:dyDescent="0.2">
      <c r="A10" s="1"/>
      <c r="B10" s="1">
        <v>62</v>
      </c>
      <c r="C10" s="5" t="s">
        <v>5</v>
      </c>
      <c r="D10" s="15" t="s">
        <v>200</v>
      </c>
      <c r="E10" s="16">
        <f>E8+E9</f>
        <v>67513</v>
      </c>
      <c r="F10" s="16">
        <f>F8+F9</f>
        <v>34082</v>
      </c>
      <c r="G10" s="16">
        <f t="shared" si="0"/>
        <v>50.482129367677338</v>
      </c>
      <c r="H10" s="16">
        <f>H8+H9</f>
        <v>16499</v>
      </c>
      <c r="I10" s="16">
        <f t="shared" si="1"/>
        <v>24.438256335816806</v>
      </c>
      <c r="J10" s="16">
        <f>J8+J9</f>
        <v>12398</v>
      </c>
      <c r="K10" s="16">
        <f t="shared" si="2"/>
        <v>18.363870661946589</v>
      </c>
      <c r="L10" s="16">
        <f>L8+L9</f>
        <v>3221</v>
      </c>
      <c r="M10" s="16">
        <f t="shared" si="3"/>
        <v>4.7709330054952384</v>
      </c>
      <c r="N10" s="16">
        <f>N8+N9</f>
        <v>1313</v>
      </c>
      <c r="O10" s="16">
        <f t="shared" si="4"/>
        <v>1.9448106290640321</v>
      </c>
    </row>
    <row r="11" spans="1:15" ht="11.45" customHeight="1" x14ac:dyDescent="0.2">
      <c r="A11" s="1">
        <v>63</v>
      </c>
      <c r="B11" s="1"/>
      <c r="C11" s="1"/>
      <c r="D11" s="15" t="s">
        <v>201</v>
      </c>
      <c r="E11" s="1">
        <f>F11+H11+J11+L11+N11</f>
        <v>38325</v>
      </c>
      <c r="F11" s="1">
        <v>16918</v>
      </c>
      <c r="G11" s="1">
        <f t="shared" si="0"/>
        <v>44.143509458577952</v>
      </c>
      <c r="H11" s="1">
        <v>11893</v>
      </c>
      <c r="I11" s="1">
        <f t="shared" si="1"/>
        <v>31.031963470319635</v>
      </c>
      <c r="J11" s="1">
        <v>6560</v>
      </c>
      <c r="K11" s="1">
        <f t="shared" si="2"/>
        <v>17.116764514024787</v>
      </c>
      <c r="L11" s="1">
        <v>2246</v>
      </c>
      <c r="M11" s="1">
        <f t="shared" si="3"/>
        <v>5.8604044357469016</v>
      </c>
      <c r="N11" s="1">
        <f>520+188</f>
        <v>708</v>
      </c>
      <c r="O11" s="1">
        <f t="shared" si="4"/>
        <v>1.847358121330724</v>
      </c>
    </row>
    <row r="12" spans="1:15" ht="11.45" customHeight="1" x14ac:dyDescent="0.2">
      <c r="A12" s="1">
        <v>27</v>
      </c>
      <c r="B12" s="1"/>
      <c r="C12" s="1"/>
      <c r="D12" s="15" t="s">
        <v>202</v>
      </c>
      <c r="E12" s="1">
        <f>F12+H12+J12+L12+N12</f>
        <v>41780</v>
      </c>
      <c r="F12" s="1">
        <v>30468</v>
      </c>
      <c r="G12" s="1">
        <f t="shared" si="0"/>
        <v>72.924844423168977</v>
      </c>
      <c r="H12" s="1">
        <v>4818</v>
      </c>
      <c r="I12" s="1">
        <f t="shared" si="1"/>
        <v>11.531833413116324</v>
      </c>
      <c r="J12" s="1">
        <v>4658</v>
      </c>
      <c r="K12" s="1">
        <f t="shared" si="2"/>
        <v>11.148875059837243</v>
      </c>
      <c r="L12" s="1">
        <v>1164</v>
      </c>
      <c r="M12" s="1">
        <f t="shared" si="3"/>
        <v>2.7860220201053134</v>
      </c>
      <c r="N12" s="1">
        <f>349+193+130</f>
        <v>672</v>
      </c>
      <c r="O12" s="1">
        <f t="shared" si="4"/>
        <v>1.6084250837721399</v>
      </c>
    </row>
    <row r="13" spans="1:15" ht="11.45" customHeight="1" x14ac:dyDescent="0.2">
      <c r="A13" s="5"/>
      <c r="B13" s="5">
        <v>63</v>
      </c>
      <c r="C13" s="5" t="s">
        <v>5</v>
      </c>
      <c r="D13" s="18" t="s">
        <v>203</v>
      </c>
      <c r="E13" s="12">
        <f>E11+E12</f>
        <v>80105</v>
      </c>
      <c r="F13" s="12">
        <f>F11+F12</f>
        <v>47386</v>
      </c>
      <c r="G13" s="12">
        <f t="shared" si="0"/>
        <v>59.154859247238001</v>
      </c>
      <c r="H13" s="12">
        <f>H11+H12</f>
        <v>16711</v>
      </c>
      <c r="I13" s="12">
        <f t="shared" si="1"/>
        <v>20.861369452593472</v>
      </c>
      <c r="J13" s="12">
        <f>J11+J12</f>
        <v>11218</v>
      </c>
      <c r="K13" s="12">
        <f t="shared" si="2"/>
        <v>14.004119593034142</v>
      </c>
      <c r="L13" s="12">
        <f>L11+L12</f>
        <v>3410</v>
      </c>
      <c r="M13" s="12">
        <f t="shared" si="3"/>
        <v>4.2569128019474443</v>
      </c>
      <c r="N13" s="12">
        <f>N11+N12</f>
        <v>1380</v>
      </c>
      <c r="O13" s="12">
        <f t="shared" si="4"/>
        <v>1.7227389051869422</v>
      </c>
    </row>
    <row r="21" spans="1:15" ht="11.45" customHeight="1" x14ac:dyDescent="0.2">
      <c r="A21" s="39" t="s">
        <v>210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11.45" customHeight="1" x14ac:dyDescent="0.2">
      <c r="A22" s="55" t="s">
        <v>231</v>
      </c>
      <c r="B22" s="39"/>
      <c r="C22" s="39"/>
      <c r="D22" s="39"/>
      <c r="E22" s="51">
        <v>6</v>
      </c>
      <c r="F22" s="51">
        <v>6</v>
      </c>
      <c r="G22" s="39"/>
      <c r="H22" s="38">
        <v>0</v>
      </c>
      <c r="I22" s="38"/>
      <c r="J22" s="38">
        <v>0</v>
      </c>
      <c r="K22" s="38"/>
      <c r="L22" s="38">
        <v>0</v>
      </c>
      <c r="M22" s="39"/>
      <c r="N22" s="39"/>
      <c r="O22" s="39"/>
    </row>
    <row r="23" spans="1:15" ht="11.45" customHeight="1" x14ac:dyDescent="0.2">
      <c r="A23" s="55" t="s">
        <v>232</v>
      </c>
      <c r="B23" s="39"/>
      <c r="C23" s="39"/>
      <c r="D23" s="39"/>
      <c r="E23" s="1">
        <f>E7+E10+E13+E16+E19</f>
        <v>223972</v>
      </c>
      <c r="F23" s="1">
        <f>F7+F10+F13+F16+F19</f>
        <v>118462</v>
      </c>
      <c r="G23" s="1">
        <f>F23*100/$E23</f>
        <v>52.891432857678637</v>
      </c>
      <c r="H23" s="1">
        <f>H7+H10+H13+H16+H19</f>
        <v>51671</v>
      </c>
      <c r="I23" s="1">
        <f>H23*100/$E23</f>
        <v>23.070294501098353</v>
      </c>
      <c r="J23" s="1">
        <f>J7+J10+J13+J16+J19</f>
        <v>39664</v>
      </c>
      <c r="K23" s="1">
        <f>J23*100/$E23</f>
        <v>17.709356526708696</v>
      </c>
      <c r="L23" s="1">
        <f>L7+L10+L13+L16+L19</f>
        <v>11017</v>
      </c>
      <c r="M23" s="1">
        <f>L23*100/$E23</f>
        <v>4.9189184362331009</v>
      </c>
      <c r="N23" s="1">
        <f>N7+N10+N13+N16+N19</f>
        <v>3158</v>
      </c>
      <c r="O23" s="1">
        <f>N23*100/$E23</f>
        <v>1.4099976782812138</v>
      </c>
    </row>
    <row r="24" spans="1:15" ht="11.45" customHeight="1" x14ac:dyDescent="0.2">
      <c r="A24" s="55"/>
      <c r="B24" s="39"/>
      <c r="C24" s="39"/>
      <c r="D24" s="3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s="28" customFormat="1" ht="11.45" customHeight="1" x14ac:dyDescent="0.2">
      <c r="A25" s="55" t="s">
        <v>241</v>
      </c>
      <c r="B25" s="39"/>
      <c r="C25" s="39"/>
      <c r="D25" s="3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1.45" customHeight="1" x14ac:dyDescent="0.2">
      <c r="A26" s="38" t="s">
        <v>233</v>
      </c>
      <c r="B26" s="39"/>
      <c r="C26" s="39"/>
      <c r="D26" s="39"/>
      <c r="E26" s="38">
        <f>F26+H26+J26+L26+N26</f>
        <v>3</v>
      </c>
      <c r="F26" s="38">
        <v>3</v>
      </c>
      <c r="G26" s="39"/>
      <c r="H26" s="38">
        <v>0</v>
      </c>
      <c r="I26" s="39"/>
      <c r="J26" s="38">
        <v>0</v>
      </c>
      <c r="K26" s="39"/>
      <c r="L26" s="38">
        <v>0</v>
      </c>
      <c r="M26" s="39"/>
      <c r="N26" s="39"/>
      <c r="O26" s="39"/>
    </row>
    <row r="27" spans="1:15" ht="11.45" customHeight="1" x14ac:dyDescent="0.2">
      <c r="A27" s="38" t="s">
        <v>234</v>
      </c>
      <c r="B27" s="39"/>
      <c r="C27" s="39"/>
      <c r="D27" s="39"/>
      <c r="E27" s="38">
        <f>F27+H27+J27+L27+N27</f>
        <v>2</v>
      </c>
      <c r="F27" s="38">
        <v>0</v>
      </c>
      <c r="G27" s="39"/>
      <c r="H27" s="38">
        <v>1</v>
      </c>
      <c r="I27" s="39"/>
      <c r="J27" s="38">
        <v>1</v>
      </c>
      <c r="K27" s="39"/>
      <c r="L27" s="39"/>
      <c r="M27" s="39"/>
      <c r="N27" s="39"/>
      <c r="O27" s="39"/>
    </row>
    <row r="28" spans="1:15" ht="11.45" customHeight="1" x14ac:dyDescent="0.2">
      <c r="A28" s="38" t="s">
        <v>244</v>
      </c>
      <c r="B28" s="39"/>
      <c r="C28" s="39"/>
      <c r="D28" s="39"/>
      <c r="E28" s="38"/>
      <c r="F28" s="38"/>
      <c r="G28" s="39"/>
      <c r="H28" s="38"/>
      <c r="I28" s="39"/>
      <c r="J28" s="38"/>
      <c r="K28" s="39"/>
      <c r="L28" s="39"/>
      <c r="M28" s="39"/>
      <c r="N28" s="39"/>
      <c r="O28" s="39"/>
    </row>
    <row r="29" spans="1:15" ht="11.45" customHeight="1" x14ac:dyDescent="0.2">
      <c r="A29" s="38" t="s">
        <v>237</v>
      </c>
      <c r="B29" s="38"/>
      <c r="C29" s="38"/>
      <c r="D29" s="38"/>
      <c r="E29" s="38"/>
      <c r="F29" s="38"/>
      <c r="G29" s="38">
        <f>3*16.67</f>
        <v>50.010000000000005</v>
      </c>
      <c r="H29" s="38"/>
      <c r="I29" s="38">
        <f>1*16.67</f>
        <v>16.670000000000002</v>
      </c>
      <c r="J29" s="38"/>
      <c r="K29" s="38">
        <f>1*16.67</f>
        <v>16.670000000000002</v>
      </c>
      <c r="L29" s="38"/>
      <c r="M29" s="38"/>
      <c r="N29" s="38"/>
      <c r="O29" s="38"/>
    </row>
    <row r="30" spans="1:15" ht="11.45" customHeight="1" x14ac:dyDescent="0.2">
      <c r="A30" s="38" t="s">
        <v>255</v>
      </c>
      <c r="B30" s="39"/>
      <c r="C30" s="39"/>
      <c r="D30" s="39"/>
      <c r="E30" s="38"/>
      <c r="F30" s="38"/>
      <c r="G30" s="38">
        <f>G23-G29</f>
        <v>2.8814328576786323</v>
      </c>
      <c r="H30" s="38"/>
      <c r="I30" s="38">
        <f>I23-I29</f>
        <v>6.400294501098351</v>
      </c>
      <c r="J30" s="38"/>
      <c r="K30" s="38">
        <f>K23-K29</f>
        <v>1.0393565267086942</v>
      </c>
      <c r="L30" s="39"/>
      <c r="M30" s="38">
        <v>4.92</v>
      </c>
      <c r="N30" s="38"/>
      <c r="O30" s="38">
        <v>1.41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1</v>
      </c>
      <c r="F31" s="53"/>
      <c r="G31" s="53"/>
      <c r="H31" s="53">
        <v>1</v>
      </c>
      <c r="I31" s="53"/>
      <c r="J31" s="53"/>
      <c r="K31" s="52"/>
      <c r="L31" s="53"/>
      <c r="M31" s="52"/>
      <c r="N31" s="52"/>
      <c r="O31" s="52"/>
    </row>
    <row r="32" spans="1:15" ht="11.45" customHeight="1" x14ac:dyDescent="0.2">
      <c r="A32" s="38" t="s">
        <v>239</v>
      </c>
      <c r="B32" s="39"/>
      <c r="C32" s="39"/>
      <c r="D32" s="39"/>
      <c r="E32" s="54">
        <f>E26+E27+E31</f>
        <v>6</v>
      </c>
      <c r="F32" s="38">
        <f>F26+F27+F31</f>
        <v>3</v>
      </c>
      <c r="G32" s="38">
        <f t="shared" ref="G32:O32" si="5">G27+G31</f>
        <v>0</v>
      </c>
      <c r="H32" s="38">
        <f t="shared" si="5"/>
        <v>2</v>
      </c>
      <c r="I32" s="38">
        <f t="shared" si="5"/>
        <v>0</v>
      </c>
      <c r="J32" s="38">
        <f t="shared" si="5"/>
        <v>1</v>
      </c>
      <c r="K32" s="38">
        <f t="shared" si="5"/>
        <v>0</v>
      </c>
      <c r="L32" s="38">
        <f t="shared" si="5"/>
        <v>0</v>
      </c>
      <c r="M32" s="38">
        <f t="shared" si="5"/>
        <v>0</v>
      </c>
      <c r="N32" s="38">
        <f t="shared" si="5"/>
        <v>0</v>
      </c>
      <c r="O32" s="38">
        <f t="shared" si="5"/>
        <v>0</v>
      </c>
    </row>
    <row r="33" spans="1:15" ht="11.45" customHeight="1" x14ac:dyDescent="0.2">
      <c r="A33" s="38" t="s">
        <v>245</v>
      </c>
      <c r="B33" s="39"/>
      <c r="C33" s="39"/>
      <c r="D33" s="39"/>
      <c r="E33" s="54">
        <f>G33+I33+K33+M33</f>
        <v>89.750294501098367</v>
      </c>
      <c r="F33" s="38"/>
      <c r="G33" s="38">
        <f>3*16.67</f>
        <v>50.010000000000005</v>
      </c>
      <c r="H33" s="38"/>
      <c r="I33" s="38">
        <f>I29+I30</f>
        <v>23.070294501098353</v>
      </c>
      <c r="J33" s="38"/>
      <c r="K33" s="38">
        <f>1*16.67</f>
        <v>16.670000000000002</v>
      </c>
      <c r="L33" s="38"/>
      <c r="M33" s="38"/>
      <c r="N33" s="38"/>
      <c r="O33" s="38"/>
    </row>
    <row r="34" spans="1:15" ht="11.45" customHeight="1" x14ac:dyDescent="0.2">
      <c r="A34" s="38" t="s">
        <v>314</v>
      </c>
      <c r="B34" s="39"/>
      <c r="C34" s="39"/>
      <c r="D34" s="39"/>
      <c r="E34" s="54">
        <f>F34+H34+J34+L34</f>
        <v>201015.52960000001</v>
      </c>
      <c r="F34" s="54">
        <f>G33*$E23/100</f>
        <v>112008.39720000001</v>
      </c>
      <c r="G34" s="38"/>
      <c r="H34" s="38">
        <f>I33*$E23/100</f>
        <v>51671</v>
      </c>
      <c r="I34" s="38"/>
      <c r="J34" s="38">
        <f>K33*$E23/100</f>
        <v>37336.132400000002</v>
      </c>
      <c r="K34" s="38"/>
      <c r="L34" s="38">
        <f>M33*$E23/100</f>
        <v>0</v>
      </c>
      <c r="M34" s="38"/>
      <c r="N34" s="38">
        <f>O33*$E23/100</f>
        <v>0</v>
      </c>
      <c r="O34" s="38"/>
    </row>
    <row r="35" spans="1:15" ht="11.45" customHeight="1" x14ac:dyDescent="0.2">
      <c r="A35" s="79" t="s">
        <v>313</v>
      </c>
      <c r="B35" s="80"/>
      <c r="C35" s="80"/>
      <c r="D35" s="80"/>
      <c r="E35" s="68">
        <v>0.9</v>
      </c>
      <c r="F35" s="63"/>
      <c r="G35" s="68">
        <v>0.5</v>
      </c>
      <c r="H35" s="63"/>
      <c r="I35" s="68">
        <v>0.23</v>
      </c>
      <c r="J35" s="63"/>
      <c r="K35" s="68">
        <v>0.16700000000000001</v>
      </c>
      <c r="L35" s="63"/>
      <c r="M35" s="63"/>
      <c r="N35" s="63"/>
      <c r="O35" s="63"/>
    </row>
    <row r="36" spans="1:15" ht="11.45" customHeight="1" x14ac:dyDescent="0.2">
      <c r="A36" s="81" t="s">
        <v>312</v>
      </c>
      <c r="B36" s="82"/>
      <c r="C36" s="82"/>
      <c r="D36" s="82"/>
      <c r="E36" s="62" t="s">
        <v>295</v>
      </c>
      <c r="F36" s="38"/>
      <c r="G36" s="62" t="s">
        <v>295</v>
      </c>
      <c r="H36" s="38"/>
      <c r="I36" s="62" t="s">
        <v>260</v>
      </c>
      <c r="K36" s="62" t="s">
        <v>260</v>
      </c>
      <c r="L36" s="38"/>
      <c r="M36" s="62" t="s">
        <v>260</v>
      </c>
      <c r="N36" s="38"/>
    </row>
    <row r="37" spans="1:15" ht="11.45" customHeight="1" x14ac:dyDescent="0.2">
      <c r="A37" s="38" t="s">
        <v>240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 ht="11.45" customHeight="1" x14ac:dyDescent="0.2">
      <c r="A38" s="38" t="s">
        <v>252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 ht="11.45" customHeight="1" x14ac:dyDescent="0.2">
      <c r="A39" s="61" t="s">
        <v>276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11.45" customHeight="1" x14ac:dyDescent="0.2">
      <c r="A40" s="38" t="s">
        <v>253</v>
      </c>
      <c r="E40" s="28">
        <f>F40+H40+J40+L40+N40</f>
        <v>118462</v>
      </c>
      <c r="F40" s="28">
        <f>F23</f>
        <v>118462</v>
      </c>
      <c r="G40" s="28">
        <f>F40*100/$E23</f>
        <v>52.891432857678637</v>
      </c>
      <c r="H40" s="28">
        <v>0</v>
      </c>
      <c r="I40" s="28">
        <f>H40*100/$E23</f>
        <v>0</v>
      </c>
      <c r="J40" s="28">
        <v>0</v>
      </c>
      <c r="K40" s="28">
        <f>J40*100/$E23</f>
        <v>0</v>
      </c>
      <c r="L40" s="28">
        <v>0</v>
      </c>
      <c r="M40" s="28">
        <f>L40*100/$E23</f>
        <v>0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E41" s="95" t="s">
        <v>295</v>
      </c>
      <c r="F41" s="83"/>
      <c r="G41" s="95" t="s">
        <v>295</v>
      </c>
      <c r="H41" s="83"/>
      <c r="I41" s="95" t="s">
        <v>260</v>
      </c>
      <c r="J41" s="83"/>
      <c r="K41" s="57" t="s">
        <v>260</v>
      </c>
      <c r="L41" s="28"/>
      <c r="M41" s="95" t="s">
        <v>260</v>
      </c>
      <c r="N41" s="28"/>
      <c r="O41" s="95" t="s">
        <v>260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workbookViewId="0">
      <selection activeCell="Q8" sqref="Q8"/>
    </sheetView>
  </sheetViews>
  <sheetFormatPr defaultColWidth="11.42578125" defaultRowHeight="12.75" x14ac:dyDescent="0.2"/>
  <cols>
    <col min="1" max="1" width="5.28515625" style="39" customWidth="1"/>
    <col min="2" max="2" width="21.42578125" style="39" customWidth="1"/>
    <col min="3" max="7" width="4.7109375" style="39" customWidth="1"/>
    <col min="8" max="8" width="7.140625" style="39" customWidth="1"/>
    <col min="9" max="9" width="4.7109375" style="39" customWidth="1"/>
    <col min="10" max="10" width="4.7109375" style="66" customWidth="1"/>
    <col min="11" max="17" width="4.7109375" style="39" customWidth="1"/>
    <col min="18" max="18" width="4.7109375" style="102" customWidth="1"/>
    <col min="19" max="20" width="4.42578125" style="102" customWidth="1"/>
    <col min="21" max="21" width="9.7109375" style="102" customWidth="1"/>
    <col min="22" max="22" width="10.28515625" style="102" customWidth="1"/>
    <col min="23" max="16384" width="11.42578125" style="102"/>
  </cols>
  <sheetData>
    <row r="1" spans="1:22" ht="15" x14ac:dyDescent="0.2">
      <c r="A1" s="101" t="s">
        <v>347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22" ht="15" x14ac:dyDescent="0.2">
      <c r="D2" s="150" t="s">
        <v>392</v>
      </c>
    </row>
    <row r="3" spans="1:22" ht="15.75" x14ac:dyDescent="0.25">
      <c r="A3" s="39" t="s">
        <v>384</v>
      </c>
      <c r="K3" s="151" t="s">
        <v>393</v>
      </c>
    </row>
    <row r="4" spans="1:22" x14ac:dyDescent="0.2">
      <c r="C4" s="106" t="s">
        <v>390</v>
      </c>
      <c r="D4" s="130"/>
      <c r="E4" s="130"/>
      <c r="F4" s="130"/>
      <c r="G4" s="130"/>
      <c r="H4" s="130"/>
      <c r="L4" s="106" t="s">
        <v>391</v>
      </c>
      <c r="M4" s="108"/>
      <c r="N4" s="107"/>
      <c r="O4" s="107"/>
      <c r="P4" s="107"/>
      <c r="R4" s="121" t="s">
        <v>396</v>
      </c>
      <c r="S4" s="123"/>
      <c r="T4" s="123"/>
      <c r="U4" s="123"/>
      <c r="V4" s="130"/>
    </row>
    <row r="5" spans="1:22" x14ac:dyDescent="0.2">
      <c r="D5" s="121" t="s">
        <v>362</v>
      </c>
      <c r="E5" s="82"/>
      <c r="F5" s="82"/>
      <c r="G5" s="82" t="s">
        <v>387</v>
      </c>
      <c r="H5" s="124"/>
      <c r="I5" s="109"/>
      <c r="J5" s="103" t="s">
        <v>335</v>
      </c>
      <c r="N5" s="103" t="s">
        <v>340</v>
      </c>
      <c r="R5" s="121" t="s">
        <v>386</v>
      </c>
      <c r="S5" s="122"/>
      <c r="T5" s="122"/>
      <c r="U5" s="123"/>
      <c r="V5" s="148" t="s">
        <v>388</v>
      </c>
    </row>
    <row r="6" spans="1:22" x14ac:dyDescent="0.2">
      <c r="A6" s="64" t="s">
        <v>1</v>
      </c>
      <c r="B6" s="64" t="s">
        <v>336</v>
      </c>
      <c r="C6" s="132" t="s">
        <v>337</v>
      </c>
      <c r="D6" s="113" t="s">
        <v>5</v>
      </c>
      <c r="E6" s="80" t="s">
        <v>7</v>
      </c>
      <c r="F6" s="80" t="s">
        <v>8</v>
      </c>
      <c r="G6" s="80" t="s">
        <v>9</v>
      </c>
      <c r="H6" s="149" t="s">
        <v>385</v>
      </c>
      <c r="I6" s="104" t="s">
        <v>337</v>
      </c>
      <c r="J6" s="104" t="s">
        <v>5</v>
      </c>
      <c r="K6" s="64" t="s">
        <v>7</v>
      </c>
      <c r="L6" s="64" t="s">
        <v>8</v>
      </c>
      <c r="M6" s="64" t="s">
        <v>9</v>
      </c>
      <c r="N6" s="104" t="s">
        <v>5</v>
      </c>
      <c r="O6" s="64" t="s">
        <v>7</v>
      </c>
      <c r="P6" s="64" t="s">
        <v>8</v>
      </c>
      <c r="Q6" s="64" t="s">
        <v>9</v>
      </c>
      <c r="R6" s="125" t="s">
        <v>5</v>
      </c>
      <c r="S6" s="126" t="s">
        <v>7</v>
      </c>
      <c r="T6" s="126" t="s">
        <v>8</v>
      </c>
      <c r="U6" s="126" t="s">
        <v>9</v>
      </c>
      <c r="V6" s="114" t="s">
        <v>389</v>
      </c>
    </row>
    <row r="7" spans="1:22" x14ac:dyDescent="0.2">
      <c r="A7" s="39">
        <v>1</v>
      </c>
      <c r="B7" s="39" t="s">
        <v>338</v>
      </c>
      <c r="C7" s="133">
        <f>D7+E7+F7+G7</f>
        <v>8</v>
      </c>
      <c r="D7" s="115">
        <v>6</v>
      </c>
      <c r="E7" s="82">
        <v>1</v>
      </c>
      <c r="F7" s="82">
        <v>1</v>
      </c>
      <c r="G7" s="82"/>
      <c r="H7" s="116">
        <v>41</v>
      </c>
      <c r="I7" s="105">
        <f>J7+K7+L7+M7+N7+O7+P7+Q7</f>
        <v>8</v>
      </c>
      <c r="J7" s="103">
        <v>4</v>
      </c>
      <c r="N7" s="103"/>
      <c r="O7" s="39">
        <v>1</v>
      </c>
      <c r="P7" s="39">
        <v>2</v>
      </c>
      <c r="Q7" s="39">
        <v>1</v>
      </c>
      <c r="R7" s="115">
        <f t="shared" ref="R7:U12" si="0">J7+N7</f>
        <v>4</v>
      </c>
      <c r="S7" s="118">
        <f t="shared" si="0"/>
        <v>1</v>
      </c>
      <c r="T7" s="118">
        <f t="shared" si="0"/>
        <v>2</v>
      </c>
      <c r="U7" s="118">
        <f t="shared" si="0"/>
        <v>1</v>
      </c>
      <c r="V7" s="116">
        <v>86</v>
      </c>
    </row>
    <row r="8" spans="1:22" x14ac:dyDescent="0.2">
      <c r="A8" s="39">
        <v>2</v>
      </c>
      <c r="B8" s="39" t="s">
        <v>339</v>
      </c>
      <c r="C8" s="133">
        <f>D8+E8+F8+G8</f>
        <v>4</v>
      </c>
      <c r="D8" s="115">
        <v>2</v>
      </c>
      <c r="E8" s="82"/>
      <c r="F8" s="82">
        <v>2</v>
      </c>
      <c r="G8" s="82"/>
      <c r="H8" s="116">
        <v>45</v>
      </c>
      <c r="I8" s="105">
        <f>J8+K8+L8+M8+N8+O8+P8+Q8</f>
        <v>4</v>
      </c>
      <c r="J8" s="103">
        <v>1</v>
      </c>
      <c r="K8" s="39">
        <v>1</v>
      </c>
      <c r="N8" s="103"/>
      <c r="O8" s="39">
        <v>1</v>
      </c>
      <c r="P8" s="39">
        <v>1</v>
      </c>
      <c r="R8" s="115">
        <f t="shared" si="0"/>
        <v>1</v>
      </c>
      <c r="S8" s="118">
        <f t="shared" si="0"/>
        <v>2</v>
      </c>
      <c r="T8" s="118">
        <f t="shared" si="0"/>
        <v>1</v>
      </c>
      <c r="U8" s="118">
        <f t="shared" si="0"/>
        <v>0</v>
      </c>
      <c r="V8" s="116">
        <v>84</v>
      </c>
    </row>
    <row r="9" spans="1:22" x14ac:dyDescent="0.2">
      <c r="A9" s="39">
        <v>3</v>
      </c>
      <c r="B9" s="39" t="s">
        <v>341</v>
      </c>
      <c r="C9" s="133">
        <f t="shared" ref="C9:C26" si="1">D9+E9+F9+G9</f>
        <v>10</v>
      </c>
      <c r="D9" s="115">
        <v>5</v>
      </c>
      <c r="E9" s="82">
        <v>5</v>
      </c>
      <c r="F9" s="82"/>
      <c r="G9" s="82"/>
      <c r="H9" s="116">
        <v>44.9</v>
      </c>
      <c r="I9" s="105">
        <f t="shared" ref="I9:I26" si="2">J9+K9+L9+M9+N9+O9+P9+Q9</f>
        <v>10</v>
      </c>
      <c r="J9" s="103">
        <v>3</v>
      </c>
      <c r="K9" s="39">
        <v>2</v>
      </c>
      <c r="N9" s="103">
        <v>1</v>
      </c>
      <c r="O9" s="39">
        <v>2</v>
      </c>
      <c r="P9" s="39">
        <v>2</v>
      </c>
      <c r="R9" s="115">
        <f t="shared" si="0"/>
        <v>4</v>
      </c>
      <c r="S9" s="118">
        <f t="shared" si="0"/>
        <v>4</v>
      </c>
      <c r="T9" s="118">
        <f t="shared" si="0"/>
        <v>2</v>
      </c>
      <c r="U9" s="118">
        <f t="shared" si="0"/>
        <v>0</v>
      </c>
      <c r="V9" s="116">
        <v>91</v>
      </c>
    </row>
    <row r="10" spans="1:22" x14ac:dyDescent="0.2">
      <c r="A10" s="39">
        <v>4</v>
      </c>
      <c r="B10" s="39" t="s">
        <v>342</v>
      </c>
      <c r="C10" s="133">
        <f t="shared" si="1"/>
        <v>6</v>
      </c>
      <c r="D10" s="115">
        <v>5</v>
      </c>
      <c r="E10" s="82">
        <v>1</v>
      </c>
      <c r="F10" s="82"/>
      <c r="G10" s="82"/>
      <c r="H10" s="116">
        <v>57</v>
      </c>
      <c r="I10" s="105">
        <f t="shared" si="2"/>
        <v>6</v>
      </c>
      <c r="J10" s="103">
        <v>2</v>
      </c>
      <c r="K10" s="39">
        <v>1</v>
      </c>
      <c r="N10" s="103">
        <v>1</v>
      </c>
      <c r="P10" s="39">
        <v>1</v>
      </c>
      <c r="Q10" s="39">
        <v>1</v>
      </c>
      <c r="R10" s="115">
        <f t="shared" si="0"/>
        <v>3</v>
      </c>
      <c r="S10" s="118">
        <f t="shared" si="0"/>
        <v>1</v>
      </c>
      <c r="T10" s="118">
        <f t="shared" si="0"/>
        <v>1</v>
      </c>
      <c r="U10" s="118">
        <f t="shared" si="0"/>
        <v>1</v>
      </c>
      <c r="V10" s="116">
        <v>88</v>
      </c>
    </row>
    <row r="11" spans="1:22" x14ac:dyDescent="0.2">
      <c r="A11" s="39">
        <v>5</v>
      </c>
      <c r="B11" s="39" t="s">
        <v>343</v>
      </c>
      <c r="C11" s="133">
        <f t="shared" si="1"/>
        <v>6</v>
      </c>
      <c r="D11" s="115">
        <v>2</v>
      </c>
      <c r="E11" s="82">
        <v>4</v>
      </c>
      <c r="F11" s="82"/>
      <c r="G11" s="82"/>
      <c r="H11" s="116">
        <v>41</v>
      </c>
      <c r="I11" s="105">
        <f t="shared" si="2"/>
        <v>6</v>
      </c>
      <c r="J11" s="103">
        <v>1</v>
      </c>
      <c r="K11" s="39">
        <v>2</v>
      </c>
      <c r="N11" s="103">
        <v>1</v>
      </c>
      <c r="P11" s="39">
        <v>2</v>
      </c>
      <c r="R11" s="115">
        <f t="shared" si="0"/>
        <v>2</v>
      </c>
      <c r="S11" s="118">
        <f t="shared" si="0"/>
        <v>2</v>
      </c>
      <c r="T11" s="118">
        <f t="shared" si="0"/>
        <v>2</v>
      </c>
      <c r="U11" s="118">
        <f t="shared" si="0"/>
        <v>0</v>
      </c>
      <c r="V11" s="116">
        <v>89</v>
      </c>
    </row>
    <row r="12" spans="1:22" x14ac:dyDescent="0.2">
      <c r="A12" s="39">
        <v>6</v>
      </c>
      <c r="B12" s="39" t="s">
        <v>344</v>
      </c>
      <c r="C12" s="133">
        <f t="shared" si="1"/>
        <v>8</v>
      </c>
      <c r="D12" s="115">
        <v>4</v>
      </c>
      <c r="E12" s="82">
        <v>2</v>
      </c>
      <c r="F12" s="82">
        <v>2</v>
      </c>
      <c r="G12" s="82"/>
      <c r="H12" s="116">
        <v>40</v>
      </c>
      <c r="I12" s="105">
        <f t="shared" si="2"/>
        <v>8</v>
      </c>
      <c r="J12" s="103">
        <v>2</v>
      </c>
      <c r="K12" s="39">
        <v>1</v>
      </c>
      <c r="L12" s="39">
        <v>1</v>
      </c>
      <c r="N12" s="103"/>
      <c r="O12" s="39">
        <v>2</v>
      </c>
      <c r="P12" s="39">
        <v>2</v>
      </c>
      <c r="R12" s="115">
        <f t="shared" si="0"/>
        <v>2</v>
      </c>
      <c r="S12" s="118">
        <f t="shared" si="0"/>
        <v>3</v>
      </c>
      <c r="T12" s="118">
        <f t="shared" si="0"/>
        <v>3</v>
      </c>
      <c r="U12" s="118">
        <f t="shared" si="0"/>
        <v>0</v>
      </c>
      <c r="V12" s="116">
        <v>90</v>
      </c>
    </row>
    <row r="13" spans="1:22" x14ac:dyDescent="0.2">
      <c r="A13" s="39">
        <v>7</v>
      </c>
      <c r="B13" s="39" t="s">
        <v>345</v>
      </c>
      <c r="C13" s="133">
        <f t="shared" si="1"/>
        <v>6</v>
      </c>
      <c r="D13" s="115"/>
      <c r="E13" s="82">
        <v>1</v>
      </c>
      <c r="F13" s="82">
        <v>5</v>
      </c>
      <c r="G13" s="82"/>
      <c r="H13" s="116">
        <v>35</v>
      </c>
      <c r="I13" s="105">
        <f t="shared" si="2"/>
        <v>6</v>
      </c>
      <c r="J13" s="103"/>
      <c r="L13" s="39">
        <v>1</v>
      </c>
      <c r="M13" s="39">
        <v>2</v>
      </c>
      <c r="N13" s="103">
        <v>2</v>
      </c>
      <c r="O13" s="39">
        <v>1</v>
      </c>
      <c r="R13" s="115">
        <f t="shared" ref="R13:R19" si="3">J13+N13</f>
        <v>2</v>
      </c>
      <c r="S13" s="118">
        <f t="shared" ref="S13:S19" si="4">K13+O13</f>
        <v>1</v>
      </c>
      <c r="T13" s="118">
        <f t="shared" ref="T13:T19" si="5">L13+P13</f>
        <v>1</v>
      </c>
      <c r="U13" s="118">
        <f t="shared" ref="U13:U19" si="6">M13+Q13</f>
        <v>2</v>
      </c>
      <c r="V13" s="116">
        <v>91</v>
      </c>
    </row>
    <row r="14" spans="1:22" x14ac:dyDescent="0.2">
      <c r="A14" s="39">
        <v>8</v>
      </c>
      <c r="B14" s="39" t="s">
        <v>346</v>
      </c>
      <c r="C14" s="133">
        <f t="shared" si="1"/>
        <v>6</v>
      </c>
      <c r="D14" s="115">
        <v>2</v>
      </c>
      <c r="E14" s="82">
        <v>4</v>
      </c>
      <c r="F14" s="82"/>
      <c r="G14" s="82"/>
      <c r="H14" s="116">
        <v>50</v>
      </c>
      <c r="I14" s="105">
        <f t="shared" si="2"/>
        <v>6</v>
      </c>
      <c r="J14" s="103">
        <v>1</v>
      </c>
      <c r="K14" s="39">
        <v>2</v>
      </c>
      <c r="N14" s="103">
        <v>1</v>
      </c>
      <c r="P14" s="39">
        <v>1</v>
      </c>
      <c r="Q14" s="39">
        <v>1</v>
      </c>
      <c r="R14" s="115">
        <f t="shared" si="3"/>
        <v>2</v>
      </c>
      <c r="S14" s="118">
        <f t="shared" si="4"/>
        <v>2</v>
      </c>
      <c r="T14" s="118">
        <f t="shared" si="5"/>
        <v>1</v>
      </c>
      <c r="U14" s="118">
        <f t="shared" si="6"/>
        <v>1</v>
      </c>
      <c r="V14" s="116">
        <v>87</v>
      </c>
    </row>
    <row r="15" spans="1:22" x14ac:dyDescent="0.2">
      <c r="A15" s="39">
        <v>9</v>
      </c>
      <c r="B15" s="39" t="s">
        <v>348</v>
      </c>
      <c r="C15" s="133">
        <f t="shared" si="1"/>
        <v>6</v>
      </c>
      <c r="D15" s="115">
        <v>4</v>
      </c>
      <c r="E15" s="82"/>
      <c r="F15" s="82">
        <v>2</v>
      </c>
      <c r="G15" s="82"/>
      <c r="H15" s="116">
        <v>48</v>
      </c>
      <c r="I15" s="105">
        <f t="shared" si="2"/>
        <v>6</v>
      </c>
      <c r="J15" s="103">
        <v>3</v>
      </c>
      <c r="N15" s="103"/>
      <c r="O15" s="39">
        <v>1</v>
      </c>
      <c r="P15" s="39">
        <v>2</v>
      </c>
      <c r="R15" s="115">
        <f t="shared" si="3"/>
        <v>3</v>
      </c>
      <c r="S15" s="118">
        <f t="shared" si="4"/>
        <v>1</v>
      </c>
      <c r="T15" s="118">
        <f t="shared" si="5"/>
        <v>2</v>
      </c>
      <c r="U15" s="118">
        <f t="shared" si="6"/>
        <v>0</v>
      </c>
      <c r="V15" s="116">
        <v>90</v>
      </c>
    </row>
    <row r="16" spans="1:22" x14ac:dyDescent="0.2">
      <c r="A16" s="39">
        <v>10</v>
      </c>
      <c r="B16" s="39" t="s">
        <v>349</v>
      </c>
      <c r="C16" s="133">
        <f t="shared" si="1"/>
        <v>6</v>
      </c>
      <c r="D16" s="115"/>
      <c r="E16" s="82">
        <v>1</v>
      </c>
      <c r="F16" s="82">
        <v>5</v>
      </c>
      <c r="G16" s="82"/>
      <c r="H16" s="116">
        <v>39</v>
      </c>
      <c r="I16" s="105">
        <f t="shared" si="2"/>
        <v>6</v>
      </c>
      <c r="J16" s="103"/>
      <c r="K16" s="39">
        <v>1</v>
      </c>
      <c r="L16" s="39">
        <v>2</v>
      </c>
      <c r="N16" s="103">
        <v>2</v>
      </c>
      <c r="O16" s="39">
        <v>1</v>
      </c>
      <c r="R16" s="115">
        <f t="shared" si="3"/>
        <v>2</v>
      </c>
      <c r="S16" s="118">
        <f t="shared" si="4"/>
        <v>2</v>
      </c>
      <c r="T16" s="118">
        <f t="shared" si="5"/>
        <v>2</v>
      </c>
      <c r="U16" s="118">
        <f t="shared" si="6"/>
        <v>0</v>
      </c>
      <c r="V16" s="116">
        <v>88</v>
      </c>
    </row>
    <row r="17" spans="1:23" x14ac:dyDescent="0.2">
      <c r="A17" s="39">
        <v>11</v>
      </c>
      <c r="B17" s="39" t="s">
        <v>350</v>
      </c>
      <c r="C17" s="133">
        <f t="shared" si="1"/>
        <v>6</v>
      </c>
      <c r="D17" s="115">
        <v>5</v>
      </c>
      <c r="E17" s="82"/>
      <c r="F17" s="82">
        <v>1</v>
      </c>
      <c r="G17" s="82"/>
      <c r="H17" s="116">
        <v>43</v>
      </c>
      <c r="I17" s="105">
        <f t="shared" si="2"/>
        <v>6</v>
      </c>
      <c r="J17" s="103">
        <v>2</v>
      </c>
      <c r="L17" s="39">
        <v>1</v>
      </c>
      <c r="N17" s="103"/>
      <c r="O17" s="39">
        <v>2</v>
      </c>
      <c r="P17" s="39">
        <v>1</v>
      </c>
      <c r="R17" s="115">
        <f t="shared" si="3"/>
        <v>2</v>
      </c>
      <c r="S17" s="118">
        <f t="shared" si="4"/>
        <v>2</v>
      </c>
      <c r="T17" s="118">
        <f t="shared" si="5"/>
        <v>2</v>
      </c>
      <c r="U17" s="118">
        <f t="shared" si="6"/>
        <v>0</v>
      </c>
      <c r="V17" s="116">
        <v>86</v>
      </c>
    </row>
    <row r="18" spans="1:23" x14ac:dyDescent="0.2">
      <c r="A18" s="39">
        <v>12</v>
      </c>
      <c r="B18" s="39" t="s">
        <v>351</v>
      </c>
      <c r="C18" s="133">
        <f t="shared" si="1"/>
        <v>6</v>
      </c>
      <c r="D18" s="115"/>
      <c r="E18" s="82">
        <v>4</v>
      </c>
      <c r="F18" s="82">
        <v>2</v>
      </c>
      <c r="G18" s="82"/>
      <c r="H18" s="116">
        <v>36</v>
      </c>
      <c r="I18" s="105">
        <f t="shared" si="2"/>
        <v>6</v>
      </c>
      <c r="J18" s="103">
        <v>1</v>
      </c>
      <c r="K18" s="39">
        <v>2</v>
      </c>
      <c r="N18" s="103">
        <v>1</v>
      </c>
      <c r="P18" s="39">
        <v>2</v>
      </c>
      <c r="R18" s="115">
        <f t="shared" si="3"/>
        <v>2</v>
      </c>
      <c r="S18" s="118">
        <f t="shared" si="4"/>
        <v>2</v>
      </c>
      <c r="T18" s="118">
        <f t="shared" si="5"/>
        <v>2</v>
      </c>
      <c r="U18" s="118">
        <f t="shared" si="6"/>
        <v>0</v>
      </c>
      <c r="V18" s="116">
        <v>90</v>
      </c>
    </row>
    <row r="19" spans="1:23" x14ac:dyDescent="0.2">
      <c r="A19" s="39">
        <v>13</v>
      </c>
      <c r="B19" s="39" t="s">
        <v>352</v>
      </c>
      <c r="C19" s="133">
        <f t="shared" si="1"/>
        <v>4</v>
      </c>
      <c r="D19" s="115">
        <v>2</v>
      </c>
      <c r="E19" s="82">
        <v>1</v>
      </c>
      <c r="F19" s="82">
        <v>1</v>
      </c>
      <c r="G19" s="82"/>
      <c r="H19" s="116">
        <v>44</v>
      </c>
      <c r="I19" s="103">
        <f t="shared" si="2"/>
        <v>4</v>
      </c>
      <c r="J19" s="103">
        <v>1</v>
      </c>
      <c r="K19" s="39">
        <v>1</v>
      </c>
      <c r="N19" s="103">
        <v>1</v>
      </c>
      <c r="P19" s="39">
        <v>1</v>
      </c>
      <c r="R19" s="115">
        <f t="shared" si="3"/>
        <v>2</v>
      </c>
      <c r="S19" s="118">
        <f t="shared" si="4"/>
        <v>1</v>
      </c>
      <c r="T19" s="118">
        <f t="shared" si="5"/>
        <v>1</v>
      </c>
      <c r="U19" s="118">
        <f t="shared" si="6"/>
        <v>0</v>
      </c>
      <c r="V19" s="116">
        <v>85</v>
      </c>
    </row>
    <row r="20" spans="1:23" x14ac:dyDescent="0.2">
      <c r="A20" s="39">
        <v>14</v>
      </c>
      <c r="B20" s="39" t="s">
        <v>353</v>
      </c>
      <c r="C20" s="133">
        <f t="shared" si="1"/>
        <v>6</v>
      </c>
      <c r="D20" s="115">
        <v>3</v>
      </c>
      <c r="E20" s="82">
        <v>2</v>
      </c>
      <c r="F20" s="82">
        <v>1</v>
      </c>
      <c r="G20" s="82"/>
      <c r="H20" s="116">
        <v>40</v>
      </c>
      <c r="I20" s="103">
        <f t="shared" si="2"/>
        <v>6</v>
      </c>
      <c r="J20" s="103">
        <v>2</v>
      </c>
      <c r="L20" s="39">
        <v>1</v>
      </c>
      <c r="N20" s="103"/>
      <c r="O20" s="39">
        <v>2</v>
      </c>
      <c r="P20" s="39">
        <v>1</v>
      </c>
      <c r="R20" s="115">
        <f t="shared" ref="R20:R24" si="7">J20+N20</f>
        <v>2</v>
      </c>
      <c r="S20" s="118">
        <f t="shared" ref="S20:S24" si="8">K20+O20</f>
        <v>2</v>
      </c>
      <c r="T20" s="118">
        <f t="shared" ref="T20:T24" si="9">L20+P20</f>
        <v>2</v>
      </c>
      <c r="U20" s="118">
        <f t="shared" ref="U20:U24" si="10">M20+Q20</f>
        <v>0</v>
      </c>
      <c r="V20" s="116">
        <v>90</v>
      </c>
    </row>
    <row r="21" spans="1:23" x14ac:dyDescent="0.2">
      <c r="A21" s="39">
        <v>15</v>
      </c>
      <c r="B21" s="39" t="s">
        <v>358</v>
      </c>
      <c r="C21" s="133">
        <f t="shared" si="1"/>
        <v>6</v>
      </c>
      <c r="D21" s="115">
        <v>6</v>
      </c>
      <c r="E21" s="82"/>
      <c r="F21" s="82"/>
      <c r="G21" s="82"/>
      <c r="H21" s="116">
        <v>72</v>
      </c>
      <c r="I21" s="103">
        <f t="shared" si="2"/>
        <v>6</v>
      </c>
      <c r="J21" s="103">
        <v>3</v>
      </c>
      <c r="N21" s="103">
        <v>1</v>
      </c>
      <c r="O21" s="39">
        <v>1</v>
      </c>
      <c r="P21" s="39">
        <v>1</v>
      </c>
      <c r="R21" s="115">
        <f t="shared" si="7"/>
        <v>4</v>
      </c>
      <c r="S21" s="118">
        <f t="shared" si="8"/>
        <v>1</v>
      </c>
      <c r="T21" s="118">
        <f t="shared" si="9"/>
        <v>1</v>
      </c>
      <c r="U21" s="118">
        <f t="shared" si="10"/>
        <v>0</v>
      </c>
      <c r="V21" s="116">
        <v>87</v>
      </c>
    </row>
    <row r="22" spans="1:23" x14ac:dyDescent="0.2">
      <c r="A22" s="39">
        <v>16</v>
      </c>
      <c r="B22" s="39" t="s">
        <v>354</v>
      </c>
      <c r="C22" s="133">
        <f t="shared" si="1"/>
        <v>4</v>
      </c>
      <c r="D22" s="115">
        <v>4</v>
      </c>
      <c r="E22" s="82"/>
      <c r="F22" s="82"/>
      <c r="G22" s="82"/>
      <c r="H22" s="116">
        <v>72</v>
      </c>
      <c r="I22" s="103">
        <f t="shared" si="2"/>
        <v>4</v>
      </c>
      <c r="J22" s="103">
        <v>2</v>
      </c>
      <c r="N22" s="103">
        <v>1</v>
      </c>
      <c r="O22" s="39">
        <v>1</v>
      </c>
      <c r="R22" s="115">
        <f t="shared" si="7"/>
        <v>3</v>
      </c>
      <c r="S22" s="118">
        <f t="shared" si="8"/>
        <v>1</v>
      </c>
      <c r="T22" s="118">
        <f t="shared" si="9"/>
        <v>0</v>
      </c>
      <c r="U22" s="118">
        <f t="shared" si="10"/>
        <v>0</v>
      </c>
      <c r="V22" s="116">
        <v>83</v>
      </c>
    </row>
    <row r="23" spans="1:23" x14ac:dyDescent="0.2">
      <c r="A23" s="39">
        <v>17</v>
      </c>
      <c r="B23" s="39" t="s">
        <v>355</v>
      </c>
      <c r="C23" s="133">
        <f t="shared" si="1"/>
        <v>6</v>
      </c>
      <c r="D23" s="115">
        <v>1</v>
      </c>
      <c r="E23" s="82">
        <v>2</v>
      </c>
      <c r="F23" s="82"/>
      <c r="G23" s="82">
        <v>3</v>
      </c>
      <c r="H23" s="116">
        <v>41</v>
      </c>
      <c r="I23" s="103">
        <f t="shared" si="2"/>
        <v>6</v>
      </c>
      <c r="J23" s="103"/>
      <c r="K23" s="39">
        <v>1</v>
      </c>
      <c r="M23" s="39">
        <v>2</v>
      </c>
      <c r="N23" s="103">
        <v>2</v>
      </c>
      <c r="P23" s="39">
        <v>1</v>
      </c>
      <c r="R23" s="115">
        <f t="shared" si="7"/>
        <v>2</v>
      </c>
      <c r="S23" s="118">
        <f t="shared" si="8"/>
        <v>1</v>
      </c>
      <c r="T23" s="118">
        <f t="shared" si="9"/>
        <v>1</v>
      </c>
      <c r="U23" s="118">
        <f t="shared" si="10"/>
        <v>2</v>
      </c>
      <c r="V23" s="116">
        <v>77</v>
      </c>
    </row>
    <row r="24" spans="1:23" x14ac:dyDescent="0.2">
      <c r="A24" s="39">
        <v>18</v>
      </c>
      <c r="B24" s="39" t="s">
        <v>356</v>
      </c>
      <c r="C24" s="133">
        <f t="shared" si="1"/>
        <v>8</v>
      </c>
      <c r="D24" s="115">
        <v>6</v>
      </c>
      <c r="E24" s="82">
        <v>2</v>
      </c>
      <c r="F24" s="82"/>
      <c r="G24" s="82"/>
      <c r="H24" s="116">
        <v>56</v>
      </c>
      <c r="I24" s="103">
        <f t="shared" si="2"/>
        <v>8</v>
      </c>
      <c r="J24" s="103">
        <v>3</v>
      </c>
      <c r="K24" s="39">
        <v>1</v>
      </c>
      <c r="N24" s="103">
        <v>1</v>
      </c>
      <c r="O24" s="39">
        <v>1</v>
      </c>
      <c r="P24" s="39">
        <v>1</v>
      </c>
      <c r="Q24" s="39">
        <v>1</v>
      </c>
      <c r="R24" s="115">
        <f t="shared" si="7"/>
        <v>4</v>
      </c>
      <c r="S24" s="118">
        <f t="shared" si="8"/>
        <v>2</v>
      </c>
      <c r="T24" s="118">
        <f t="shared" si="9"/>
        <v>1</v>
      </c>
      <c r="U24" s="118">
        <f t="shared" si="10"/>
        <v>1</v>
      </c>
      <c r="V24" s="116">
        <v>94</v>
      </c>
    </row>
    <row r="25" spans="1:23" x14ac:dyDescent="0.2">
      <c r="A25" s="39">
        <v>19</v>
      </c>
      <c r="B25" s="39" t="s">
        <v>357</v>
      </c>
      <c r="C25" s="133">
        <f t="shared" si="1"/>
        <v>6</v>
      </c>
      <c r="D25" s="115">
        <v>6</v>
      </c>
      <c r="E25" s="82"/>
      <c r="F25" s="82"/>
      <c r="G25" s="82"/>
      <c r="H25" s="116">
        <v>69</v>
      </c>
      <c r="I25" s="103">
        <f t="shared" si="2"/>
        <v>6</v>
      </c>
      <c r="J25" s="103">
        <v>3</v>
      </c>
      <c r="N25" s="103">
        <v>1</v>
      </c>
      <c r="O25" s="39">
        <v>1</v>
      </c>
      <c r="P25" s="39">
        <v>1</v>
      </c>
      <c r="R25" s="115">
        <f t="shared" ref="R25:R26" si="11">J25+N25</f>
        <v>4</v>
      </c>
      <c r="S25" s="118">
        <f t="shared" ref="S25:S26" si="12">K25+O25</f>
        <v>1</v>
      </c>
      <c r="T25" s="118">
        <f t="shared" ref="T25:T26" si="13">L25+P25</f>
        <v>1</v>
      </c>
      <c r="U25" s="118">
        <f t="shared" ref="U25:U26" si="14">M25+Q25</f>
        <v>0</v>
      </c>
      <c r="V25" s="116">
        <v>88</v>
      </c>
    </row>
    <row r="26" spans="1:23" x14ac:dyDescent="0.2">
      <c r="A26" s="64">
        <v>20</v>
      </c>
      <c r="B26" s="64" t="s">
        <v>359</v>
      </c>
      <c r="C26" s="132">
        <f t="shared" si="1"/>
        <v>6</v>
      </c>
      <c r="D26" s="113">
        <v>6</v>
      </c>
      <c r="E26" s="80"/>
      <c r="F26" s="80"/>
      <c r="G26" s="80"/>
      <c r="H26" s="117">
        <v>53</v>
      </c>
      <c r="I26" s="104">
        <f t="shared" si="2"/>
        <v>6</v>
      </c>
      <c r="J26" s="104">
        <v>3</v>
      </c>
      <c r="K26" s="64"/>
      <c r="L26" s="64"/>
      <c r="M26" s="64"/>
      <c r="N26" s="104"/>
      <c r="O26" s="64">
        <v>2</v>
      </c>
      <c r="P26" s="64">
        <v>1</v>
      </c>
      <c r="Q26" s="64"/>
      <c r="R26" s="113">
        <f t="shared" si="11"/>
        <v>3</v>
      </c>
      <c r="S26" s="80">
        <f t="shared" si="12"/>
        <v>2</v>
      </c>
      <c r="T26" s="80">
        <f t="shared" si="13"/>
        <v>1</v>
      </c>
      <c r="U26" s="80">
        <f t="shared" si="14"/>
        <v>0</v>
      </c>
      <c r="V26" s="117">
        <v>90</v>
      </c>
    </row>
    <row r="27" spans="1:23" x14ac:dyDescent="0.2">
      <c r="A27" s="66"/>
      <c r="B27" s="66"/>
      <c r="C27" s="134">
        <f>SUM(C7:C26)</f>
        <v>124</v>
      </c>
      <c r="D27" s="118">
        <f t="shared" ref="D27:G27" si="15">SUM(D7:D26)</f>
        <v>69</v>
      </c>
      <c r="E27" s="118">
        <f t="shared" si="15"/>
        <v>30</v>
      </c>
      <c r="F27" s="118">
        <f t="shared" si="15"/>
        <v>22</v>
      </c>
      <c r="G27" s="118">
        <f t="shared" si="15"/>
        <v>3</v>
      </c>
      <c r="H27" s="119">
        <f>AVERAGE(H7:H26)</f>
        <v>48.344999999999999</v>
      </c>
      <c r="I27" s="66">
        <f>SUM(I7:I26)</f>
        <v>124</v>
      </c>
      <c r="J27" s="66">
        <f t="shared" ref="J27" si="16">SUM(J7:J26)</f>
        <v>37</v>
      </c>
      <c r="K27" s="66">
        <f t="shared" ref="K27" si="17">SUM(K7:K26)</f>
        <v>15</v>
      </c>
      <c r="L27" s="66">
        <f t="shared" ref="L27" si="18">SUM(L7:L26)</f>
        <v>6</v>
      </c>
      <c r="M27" s="66">
        <f t="shared" ref="M27" si="19">SUM(M7:M26)</f>
        <v>4</v>
      </c>
      <c r="N27" s="66">
        <f>SUM(N7:N26)</f>
        <v>16</v>
      </c>
      <c r="O27" s="66">
        <f t="shared" ref="O27" si="20">SUM(O7:O26)</f>
        <v>19</v>
      </c>
      <c r="P27" s="66">
        <f t="shared" ref="P27" si="21">SUM(P7:P26)</f>
        <v>23</v>
      </c>
      <c r="Q27" s="66">
        <f t="shared" ref="Q27" si="22">SUM(Q7:Q26)</f>
        <v>4</v>
      </c>
      <c r="R27" s="118">
        <f t="shared" ref="R27" si="23">SUM(R7:R26)</f>
        <v>53</v>
      </c>
      <c r="S27" s="118">
        <f>SUM(S7:S26)</f>
        <v>34</v>
      </c>
      <c r="T27" s="118">
        <f t="shared" ref="T27" si="24">SUM(T7:T26)</f>
        <v>29</v>
      </c>
      <c r="U27" s="118">
        <f t="shared" ref="U27" si="25">SUM(U7:U26)</f>
        <v>8</v>
      </c>
      <c r="V27" s="119">
        <f>AVERAGE(V7:V26)</f>
        <v>87.7</v>
      </c>
      <c r="W27" s="66"/>
    </row>
    <row r="28" spans="1:23" x14ac:dyDescent="0.2">
      <c r="A28" s="39">
        <v>21</v>
      </c>
      <c r="B28" s="39" t="s">
        <v>360</v>
      </c>
      <c r="C28" s="131">
        <v>1</v>
      </c>
      <c r="D28" s="82">
        <v>1</v>
      </c>
      <c r="E28" s="82"/>
      <c r="F28" s="82"/>
      <c r="G28" s="82"/>
      <c r="H28" s="82"/>
      <c r="I28" s="39">
        <v>1</v>
      </c>
      <c r="N28" s="66"/>
      <c r="R28" s="118">
        <v>1</v>
      </c>
      <c r="S28" s="82"/>
      <c r="T28" s="82"/>
      <c r="U28" s="82"/>
      <c r="V28" s="123"/>
    </row>
    <row r="29" spans="1:23" x14ac:dyDescent="0.2">
      <c r="B29" s="64" t="s">
        <v>394</v>
      </c>
      <c r="C29" s="135">
        <f>C27+C28</f>
        <v>125</v>
      </c>
      <c r="D29" s="120">
        <f t="shared" ref="D29:G29" si="26">D27+D28</f>
        <v>70</v>
      </c>
      <c r="E29" s="120">
        <f t="shared" si="26"/>
        <v>30</v>
      </c>
      <c r="F29" s="120">
        <f t="shared" si="26"/>
        <v>22</v>
      </c>
      <c r="G29" s="120">
        <f t="shared" si="26"/>
        <v>3</v>
      </c>
      <c r="H29" s="80"/>
      <c r="I29" s="112">
        <f>I27+I28</f>
        <v>125</v>
      </c>
      <c r="J29" s="112">
        <f>J27+J28</f>
        <v>37</v>
      </c>
      <c r="K29" s="112">
        <f t="shared" ref="K29" si="27">K27+K28</f>
        <v>15</v>
      </c>
      <c r="L29" s="112">
        <f t="shared" ref="L29" si="28">L27+L28</f>
        <v>6</v>
      </c>
      <c r="M29" s="112">
        <f t="shared" ref="M29" si="29">M27+M28</f>
        <v>4</v>
      </c>
      <c r="N29" s="112">
        <f t="shared" ref="N29" si="30">N27+N28</f>
        <v>16</v>
      </c>
      <c r="O29" s="112">
        <f>O27+O28</f>
        <v>19</v>
      </c>
      <c r="P29" s="112">
        <f t="shared" ref="P29" si="31">P27+P28</f>
        <v>23</v>
      </c>
      <c r="Q29" s="112">
        <f t="shared" ref="Q29" si="32">Q27+Q28</f>
        <v>4</v>
      </c>
      <c r="R29" s="120">
        <f t="shared" ref="R29" si="33">R27+R28</f>
        <v>54</v>
      </c>
      <c r="S29" s="120">
        <f t="shared" ref="S29" si="34">S27+S28</f>
        <v>34</v>
      </c>
      <c r="T29" s="120">
        <f t="shared" ref="T29" si="35">T27+T28</f>
        <v>29</v>
      </c>
      <c r="U29" s="120">
        <f t="shared" ref="U29" si="36">U27+U28</f>
        <v>8</v>
      </c>
      <c r="V29" s="120"/>
    </row>
    <row r="30" spans="1:23" x14ac:dyDescent="0.2">
      <c r="B30" s="39" t="s">
        <v>395</v>
      </c>
      <c r="C30" s="136"/>
      <c r="D30" s="128">
        <f>D29*100/$C29</f>
        <v>56</v>
      </c>
      <c r="E30" s="128">
        <f t="shared" ref="E30:G30" si="37">E29*100/$C29</f>
        <v>24</v>
      </c>
      <c r="F30" s="128">
        <f t="shared" si="37"/>
        <v>17.600000000000001</v>
      </c>
      <c r="G30" s="129">
        <f t="shared" si="37"/>
        <v>2.4</v>
      </c>
      <c r="H30" s="82"/>
      <c r="I30" s="110"/>
      <c r="J30" s="110"/>
      <c r="K30" s="110"/>
      <c r="L30" s="110"/>
      <c r="M30" s="110"/>
      <c r="N30" s="111"/>
      <c r="O30" s="110"/>
      <c r="P30" s="110"/>
      <c r="Q30" s="110"/>
      <c r="R30" s="127">
        <f>R29*100/$I29</f>
        <v>43.2</v>
      </c>
      <c r="S30" s="127">
        <f t="shared" ref="S30:U30" si="38">S29*100/$I29</f>
        <v>27.2</v>
      </c>
      <c r="T30" s="127">
        <f t="shared" si="38"/>
        <v>23.2</v>
      </c>
      <c r="U30" s="127">
        <f t="shared" si="38"/>
        <v>6.4</v>
      </c>
      <c r="V30" s="128"/>
    </row>
    <row r="31" spans="1:23" x14ac:dyDescent="0.2">
      <c r="B31" s="39" t="s">
        <v>361</v>
      </c>
      <c r="C31" s="131"/>
      <c r="D31" s="82">
        <v>41</v>
      </c>
      <c r="E31" s="82">
        <v>25</v>
      </c>
      <c r="F31" s="82">
        <v>23</v>
      </c>
      <c r="G31" s="82">
        <v>7</v>
      </c>
      <c r="H31" s="82"/>
      <c r="R31" s="82">
        <v>41</v>
      </c>
      <c r="S31" s="82">
        <v>25</v>
      </c>
      <c r="T31" s="82">
        <v>23</v>
      </c>
      <c r="U31" s="82">
        <v>7</v>
      </c>
      <c r="V31" s="123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50" zoomScaleNormal="150" workbookViewId="0">
      <pane ySplit="4" topLeftCell="A5" activePane="bottomLeft" state="frozen"/>
      <selection pane="bottomLeft" activeCell="E33" sqref="E33"/>
    </sheetView>
  </sheetViews>
  <sheetFormatPr defaultColWidth="11.5703125" defaultRowHeight="11.45" customHeight="1" x14ac:dyDescent="0.2"/>
  <cols>
    <col min="1" max="1" width="3.5703125" style="39" customWidth="1"/>
    <col min="2" max="2" width="4.42578125" style="39" customWidth="1"/>
    <col min="3" max="3" width="3.5703125" style="39" customWidth="1"/>
    <col min="4" max="4" width="19.85546875" style="39" customWidth="1"/>
    <col min="5" max="5" width="6.140625" style="39" customWidth="1"/>
    <col min="6" max="6" width="6" style="39" customWidth="1"/>
    <col min="7" max="7" width="4.5703125" style="39" customWidth="1"/>
    <col min="8" max="8" width="5.28515625" style="39" customWidth="1"/>
    <col min="9" max="9" width="4.5703125" style="39" customWidth="1"/>
    <col min="10" max="10" width="5.5703125" style="39" customWidth="1"/>
    <col min="11" max="11" width="4.5703125" style="39" customWidth="1"/>
    <col min="12" max="12" width="5.28515625" style="39" customWidth="1"/>
    <col min="13" max="15" width="4.5703125" style="39" customWidth="1"/>
    <col min="16" max="16384" width="11.5703125" style="39"/>
  </cols>
  <sheetData>
    <row r="1" spans="1:15" ht="12.75" customHeight="1" x14ac:dyDescent="0.2">
      <c r="A1" t="s">
        <v>334</v>
      </c>
    </row>
    <row r="2" spans="1:15" ht="12.75" customHeight="1" x14ac:dyDescent="0.2">
      <c r="A2" s="39" t="s">
        <v>204</v>
      </c>
    </row>
    <row r="3" spans="1:15" ht="12.75" customHeight="1" x14ac:dyDescent="0.2">
      <c r="E3" s="38" t="s">
        <v>205</v>
      </c>
    </row>
    <row r="4" spans="1:15" ht="12.75" customHeight="1" x14ac:dyDescent="0.2">
      <c r="A4" s="40" t="s">
        <v>235</v>
      </c>
      <c r="B4" s="40" t="s">
        <v>207</v>
      </c>
      <c r="C4" s="40" t="s">
        <v>208</v>
      </c>
      <c r="D4" s="40" t="s">
        <v>209</v>
      </c>
      <c r="E4" s="41" t="s">
        <v>4</v>
      </c>
      <c r="F4" s="42" t="s">
        <v>5</v>
      </c>
      <c r="G4" s="42" t="s">
        <v>6</v>
      </c>
      <c r="H4" s="43" t="s">
        <v>7</v>
      </c>
      <c r="I4" s="43" t="s">
        <v>6</v>
      </c>
      <c r="J4" s="44" t="s">
        <v>8</v>
      </c>
      <c r="K4" s="44" t="s">
        <v>6</v>
      </c>
      <c r="L4" s="45" t="s">
        <v>9</v>
      </c>
      <c r="M4" s="45" t="s">
        <v>6</v>
      </c>
      <c r="N4" s="41" t="s">
        <v>10</v>
      </c>
      <c r="O4" s="41" t="s">
        <v>6</v>
      </c>
    </row>
    <row r="5" spans="1:15" ht="11.45" customHeight="1" x14ac:dyDescent="0.2">
      <c r="A5" s="46">
        <v>22</v>
      </c>
      <c r="B5" s="46"/>
      <c r="C5" s="46"/>
      <c r="D5" s="47" t="s">
        <v>75</v>
      </c>
      <c r="E5" s="46">
        <f>F5+H5+J5+L5+N5</f>
        <v>40252</v>
      </c>
      <c r="F5" s="46">
        <v>16934</v>
      </c>
      <c r="G5" s="46">
        <f t="shared" ref="G5:G16" si="0">F5*100/$E5</f>
        <v>42.0699592566829</v>
      </c>
      <c r="H5" s="46">
        <v>7215</v>
      </c>
      <c r="I5" s="46">
        <f t="shared" ref="I5:I16" si="1">H5*100/$E5</f>
        <v>17.92457517638875</v>
      </c>
      <c r="J5" s="46">
        <v>13053</v>
      </c>
      <c r="K5" s="46">
        <f t="shared" ref="K5:K16" si="2">J5*100/$E5</f>
        <v>32.428202325350291</v>
      </c>
      <c r="L5" s="46">
        <v>1936</v>
      </c>
      <c r="M5" s="46">
        <f t="shared" ref="M5:M16" si="3">L5*100/$E5</f>
        <v>4.8096988969492198</v>
      </c>
      <c r="N5" s="46">
        <f>450+315+257+52+40</f>
        <v>1114</v>
      </c>
      <c r="O5" s="46">
        <f t="shared" ref="O5:O16" si="4">N5*100/$E5</f>
        <v>2.7675643446288385</v>
      </c>
    </row>
    <row r="6" spans="1:15" ht="11.45" customHeight="1" x14ac:dyDescent="0.2">
      <c r="A6" s="46">
        <v>48</v>
      </c>
      <c r="B6" s="46"/>
      <c r="C6" s="46"/>
      <c r="D6" s="47" t="s">
        <v>76</v>
      </c>
      <c r="E6" s="46">
        <f>F6+H6+J6+L6+N6</f>
        <v>31248</v>
      </c>
      <c r="F6" s="46">
        <v>11645</v>
      </c>
      <c r="G6" s="46">
        <f t="shared" si="0"/>
        <v>37.266385048643116</v>
      </c>
      <c r="H6" s="46">
        <v>6998</v>
      </c>
      <c r="I6" s="46">
        <f t="shared" si="1"/>
        <v>22.395033282130058</v>
      </c>
      <c r="J6" s="46">
        <v>7431</v>
      </c>
      <c r="K6" s="46">
        <f t="shared" si="2"/>
        <v>23.780721966205839</v>
      </c>
      <c r="L6" s="46">
        <v>3626</v>
      </c>
      <c r="M6" s="46">
        <f t="shared" si="3"/>
        <v>11.603942652329749</v>
      </c>
      <c r="N6" s="46">
        <f>782+384+246+93+43</f>
        <v>1548</v>
      </c>
      <c r="O6" s="46">
        <f t="shared" si="4"/>
        <v>4.9539170506912447</v>
      </c>
    </row>
    <row r="7" spans="1:15" ht="11.45" customHeight="1" x14ac:dyDescent="0.2">
      <c r="A7" s="46"/>
      <c r="B7" s="46">
        <v>22</v>
      </c>
      <c r="C7" s="4" t="s">
        <v>5</v>
      </c>
      <c r="D7" s="47" t="s">
        <v>77</v>
      </c>
      <c r="E7" s="48">
        <f>E5+E6</f>
        <v>71500</v>
      </c>
      <c r="F7" s="48">
        <f>F5+F6</f>
        <v>28579</v>
      </c>
      <c r="G7" s="48">
        <f t="shared" si="0"/>
        <v>39.970629370629368</v>
      </c>
      <c r="H7" s="48">
        <f>H5+H6</f>
        <v>14213</v>
      </c>
      <c r="I7" s="48">
        <f t="shared" si="1"/>
        <v>19.878321678321679</v>
      </c>
      <c r="J7" s="48">
        <f>J5+J6</f>
        <v>20484</v>
      </c>
      <c r="K7" s="48">
        <f t="shared" si="2"/>
        <v>28.648951048951048</v>
      </c>
      <c r="L7" s="48">
        <f>L5+L6</f>
        <v>5562</v>
      </c>
      <c r="M7" s="48">
        <f t="shared" si="3"/>
        <v>7.779020979020979</v>
      </c>
      <c r="N7" s="48">
        <f>N5+N6</f>
        <v>2662</v>
      </c>
      <c r="O7" s="48">
        <f t="shared" si="4"/>
        <v>3.7230769230769232</v>
      </c>
    </row>
    <row r="8" spans="1:15" ht="11.45" customHeight="1" x14ac:dyDescent="0.2">
      <c r="A8" s="46">
        <v>114</v>
      </c>
      <c r="B8" s="46"/>
      <c r="C8" s="46"/>
      <c r="D8" s="49" t="s">
        <v>78</v>
      </c>
      <c r="E8" s="46">
        <f>F8+H8+J8+L8+N8</f>
        <v>34549</v>
      </c>
      <c r="F8" s="46">
        <v>10545</v>
      </c>
      <c r="G8" s="46">
        <f t="shared" si="0"/>
        <v>30.521867492546818</v>
      </c>
      <c r="H8" s="46">
        <v>10943</v>
      </c>
      <c r="I8" s="46">
        <f t="shared" si="1"/>
        <v>31.673854525456598</v>
      </c>
      <c r="J8" s="46">
        <v>5740</v>
      </c>
      <c r="K8" s="46">
        <f t="shared" si="2"/>
        <v>16.614084343975225</v>
      </c>
      <c r="L8" s="46">
        <v>5184</v>
      </c>
      <c r="M8" s="46">
        <f t="shared" si="3"/>
        <v>15.004775825638948</v>
      </c>
      <c r="N8" s="46">
        <v>2137</v>
      </c>
      <c r="O8" s="46">
        <f t="shared" si="4"/>
        <v>6.1854178123824131</v>
      </c>
    </row>
    <row r="9" spans="1:15" ht="11.45" customHeight="1" x14ac:dyDescent="0.2">
      <c r="A9" s="46">
        <v>119</v>
      </c>
      <c r="B9" s="46"/>
      <c r="C9" s="46"/>
      <c r="D9" s="47" t="s">
        <v>79</v>
      </c>
      <c r="E9" s="46">
        <f>F9+H9+J9+L9+N9</f>
        <v>42144</v>
      </c>
      <c r="F9" s="46">
        <v>18398</v>
      </c>
      <c r="G9" s="46">
        <f t="shared" si="0"/>
        <v>43.65508731966591</v>
      </c>
      <c r="H9" s="46">
        <v>6337</v>
      </c>
      <c r="I9" s="46">
        <f t="shared" si="1"/>
        <v>15.036541381928625</v>
      </c>
      <c r="J9" s="46">
        <v>14535</v>
      </c>
      <c r="K9" s="46">
        <f t="shared" si="2"/>
        <v>34.488895216400913</v>
      </c>
      <c r="L9" s="46">
        <v>1910</v>
      </c>
      <c r="M9" s="46">
        <f t="shared" si="3"/>
        <v>4.5320804859529229</v>
      </c>
      <c r="N9" s="46">
        <f>564+400</f>
        <v>964</v>
      </c>
      <c r="O9" s="46">
        <f t="shared" si="4"/>
        <v>2.2873955960516326</v>
      </c>
    </row>
    <row r="10" spans="1:15" ht="11.45" customHeight="1" x14ac:dyDescent="0.2">
      <c r="A10" s="46"/>
      <c r="B10" s="46">
        <v>23</v>
      </c>
      <c r="C10" s="4" t="s">
        <v>5</v>
      </c>
      <c r="D10" s="47" t="s">
        <v>80</v>
      </c>
      <c r="E10" s="48">
        <f>E8+E9</f>
        <v>76693</v>
      </c>
      <c r="F10" s="48">
        <f>F8+F9</f>
        <v>28943</v>
      </c>
      <c r="G10" s="48">
        <f t="shared" si="0"/>
        <v>37.738776681053032</v>
      </c>
      <c r="H10" s="48">
        <f>H8+H9</f>
        <v>17280</v>
      </c>
      <c r="I10" s="48">
        <f t="shared" si="1"/>
        <v>22.531391391652431</v>
      </c>
      <c r="J10" s="48">
        <f>J8+J9</f>
        <v>20275</v>
      </c>
      <c r="K10" s="48">
        <f t="shared" si="2"/>
        <v>26.436571786212561</v>
      </c>
      <c r="L10" s="48">
        <f>L8+L9</f>
        <v>7094</v>
      </c>
      <c r="M10" s="48">
        <f t="shared" si="3"/>
        <v>9.2498663502536083</v>
      </c>
      <c r="N10" s="48">
        <f>N8+N9</f>
        <v>3101</v>
      </c>
      <c r="O10" s="48">
        <f t="shared" si="4"/>
        <v>4.0433937908283673</v>
      </c>
    </row>
    <row r="11" spans="1:15" ht="11.45" customHeight="1" x14ac:dyDescent="0.2">
      <c r="A11" s="46">
        <v>65</v>
      </c>
      <c r="B11" s="46"/>
      <c r="C11" s="46"/>
      <c r="D11" s="50" t="s">
        <v>81</v>
      </c>
      <c r="E11" s="46">
        <f>F11+H11+J11+L11+N11</f>
        <v>34886</v>
      </c>
      <c r="F11" s="46">
        <v>12178</v>
      </c>
      <c r="G11" s="46">
        <f t="shared" si="0"/>
        <v>34.907986011580576</v>
      </c>
      <c r="H11" s="46">
        <v>5797</v>
      </c>
      <c r="I11" s="46">
        <f t="shared" si="1"/>
        <v>16.616981023906437</v>
      </c>
      <c r="J11" s="46">
        <v>14131</v>
      </c>
      <c r="K11" s="46">
        <f t="shared" si="2"/>
        <v>40.506220260276329</v>
      </c>
      <c r="L11" s="46">
        <v>2147</v>
      </c>
      <c r="M11" s="46">
        <f t="shared" si="3"/>
        <v>6.1543312503583101</v>
      </c>
      <c r="N11" s="46">
        <v>633</v>
      </c>
      <c r="O11" s="46">
        <f t="shared" si="4"/>
        <v>1.8144814538783467</v>
      </c>
    </row>
    <row r="12" spans="1:15" ht="11.45" customHeight="1" x14ac:dyDescent="0.2">
      <c r="A12" s="46">
        <v>49</v>
      </c>
      <c r="B12" s="46"/>
      <c r="C12" s="46"/>
      <c r="D12" s="47" t="s">
        <v>82</v>
      </c>
      <c r="E12" s="46">
        <f>F12+H12+J12+L12+N12</f>
        <v>34812</v>
      </c>
      <c r="F12" s="46">
        <v>15492</v>
      </c>
      <c r="G12" s="46">
        <f t="shared" si="0"/>
        <v>44.501895897966222</v>
      </c>
      <c r="H12" s="46">
        <v>7824</v>
      </c>
      <c r="I12" s="46">
        <f t="shared" si="1"/>
        <v>22.475008617718029</v>
      </c>
      <c r="J12" s="46">
        <v>7158</v>
      </c>
      <c r="K12" s="46">
        <f t="shared" si="2"/>
        <v>20.561875215442949</v>
      </c>
      <c r="L12" s="46">
        <v>3151</v>
      </c>
      <c r="M12" s="46">
        <f t="shared" si="3"/>
        <v>9.0514765023555093</v>
      </c>
      <c r="N12" s="46">
        <v>1187</v>
      </c>
      <c r="O12" s="46">
        <f t="shared" si="4"/>
        <v>3.4097437665172929</v>
      </c>
    </row>
    <row r="13" spans="1:15" ht="11.45" customHeight="1" x14ac:dyDescent="0.2">
      <c r="B13" s="46">
        <v>24</v>
      </c>
      <c r="C13" s="4" t="s">
        <v>5</v>
      </c>
      <c r="D13" s="47" t="s">
        <v>83</v>
      </c>
      <c r="E13" s="48">
        <f>E11+E12</f>
        <v>69698</v>
      </c>
      <c r="F13" s="48">
        <f>F11+F12</f>
        <v>27670</v>
      </c>
      <c r="G13" s="48">
        <f t="shared" si="0"/>
        <v>39.699847915291684</v>
      </c>
      <c r="H13" s="48">
        <f>H11+H12</f>
        <v>13621</v>
      </c>
      <c r="I13" s="48">
        <f t="shared" si="1"/>
        <v>19.542885018221469</v>
      </c>
      <c r="J13" s="48">
        <f>J11+J12</f>
        <v>21289</v>
      </c>
      <c r="K13" s="48">
        <f t="shared" si="2"/>
        <v>30.544635427128469</v>
      </c>
      <c r="L13" s="48">
        <f>L11+L12</f>
        <v>5298</v>
      </c>
      <c r="M13" s="48">
        <f t="shared" si="3"/>
        <v>7.6013658928520185</v>
      </c>
      <c r="N13" s="48">
        <f>N11+N12</f>
        <v>1820</v>
      </c>
      <c r="O13" s="48">
        <f t="shared" si="4"/>
        <v>2.6112657465063558</v>
      </c>
    </row>
    <row r="14" spans="1:15" ht="11.45" customHeight="1" x14ac:dyDescent="0.2">
      <c r="A14" s="46">
        <v>89</v>
      </c>
      <c r="B14" s="46"/>
      <c r="C14" s="46"/>
      <c r="D14" s="47" t="s">
        <v>84</v>
      </c>
      <c r="E14" s="46">
        <f>F14+H14+J14+L14+N14</f>
        <v>30851</v>
      </c>
      <c r="F14" s="46">
        <v>12779</v>
      </c>
      <c r="G14" s="46">
        <f t="shared" si="0"/>
        <v>41.421671906907392</v>
      </c>
      <c r="H14" s="46">
        <v>4525</v>
      </c>
      <c r="I14" s="46">
        <f t="shared" si="1"/>
        <v>14.667271725389776</v>
      </c>
      <c r="J14" s="46">
        <v>11720</v>
      </c>
      <c r="K14" s="46">
        <f t="shared" si="2"/>
        <v>37.989044115263688</v>
      </c>
      <c r="L14" s="46">
        <v>1209</v>
      </c>
      <c r="M14" s="46">
        <f t="shared" si="3"/>
        <v>3.9188356941428153</v>
      </c>
      <c r="N14" s="46">
        <v>618</v>
      </c>
      <c r="O14" s="46">
        <f t="shared" si="4"/>
        <v>2.0031765582963277</v>
      </c>
    </row>
    <row r="15" spans="1:15" ht="11.45" customHeight="1" x14ac:dyDescent="0.2">
      <c r="A15" s="46">
        <v>67</v>
      </c>
      <c r="B15" s="46"/>
      <c r="C15" s="46"/>
      <c r="D15" s="47" t="s">
        <v>85</v>
      </c>
      <c r="E15" s="46">
        <f>F15+H15+J15+L15+N15</f>
        <v>37229</v>
      </c>
      <c r="F15" s="46">
        <v>18324</v>
      </c>
      <c r="G15" s="46">
        <f t="shared" si="0"/>
        <v>49.219694324317068</v>
      </c>
      <c r="H15" s="46">
        <v>6841</v>
      </c>
      <c r="I15" s="46">
        <f t="shared" si="1"/>
        <v>18.375459990867334</v>
      </c>
      <c r="J15" s="46">
        <v>9648</v>
      </c>
      <c r="K15" s="46">
        <f t="shared" si="2"/>
        <v>25.915281098068711</v>
      </c>
      <c r="L15" s="46">
        <v>1840</v>
      </c>
      <c r="M15" s="46">
        <f t="shared" si="3"/>
        <v>4.9423836256681621</v>
      </c>
      <c r="N15" s="46">
        <f>310+266</f>
        <v>576</v>
      </c>
      <c r="O15" s="46">
        <f t="shared" si="4"/>
        <v>1.547180961078729</v>
      </c>
    </row>
    <row r="16" spans="1:15" ht="11.45" customHeight="1" x14ac:dyDescent="0.2">
      <c r="A16" s="46"/>
      <c r="B16" s="46">
        <v>25</v>
      </c>
      <c r="C16" s="4" t="s">
        <v>5</v>
      </c>
      <c r="D16" s="47" t="s">
        <v>86</v>
      </c>
      <c r="E16" s="48">
        <f>E14+E15</f>
        <v>68080</v>
      </c>
      <c r="F16" s="48">
        <f>F14+F15</f>
        <v>31103</v>
      </c>
      <c r="G16" s="48">
        <f t="shared" si="0"/>
        <v>45.685957696827259</v>
      </c>
      <c r="H16" s="48">
        <f>H14+H15</f>
        <v>11366</v>
      </c>
      <c r="I16" s="48">
        <f t="shared" si="1"/>
        <v>16.695064629847238</v>
      </c>
      <c r="J16" s="48">
        <f>J14+J15</f>
        <v>21368</v>
      </c>
      <c r="K16" s="48">
        <f t="shared" si="2"/>
        <v>31.386603995299648</v>
      </c>
      <c r="L16" s="48">
        <f>L14+L15</f>
        <v>3049</v>
      </c>
      <c r="M16" s="48">
        <f t="shared" si="3"/>
        <v>4.4785546415981194</v>
      </c>
      <c r="N16" s="48">
        <f>N14+N15</f>
        <v>1194</v>
      </c>
      <c r="O16" s="48">
        <f t="shared" si="4"/>
        <v>1.7538190364277322</v>
      </c>
    </row>
    <row r="21" spans="1:15" ht="11.45" customHeight="1" x14ac:dyDescent="0.2">
      <c r="A21" s="39" t="s">
        <v>210</v>
      </c>
    </row>
    <row r="22" spans="1:15" ht="11.45" customHeight="1" x14ac:dyDescent="0.2">
      <c r="A22" s="55" t="s">
        <v>231</v>
      </c>
      <c r="E22" s="51">
        <v>8</v>
      </c>
      <c r="F22" s="51">
        <v>6</v>
      </c>
      <c r="H22" s="38">
        <v>1</v>
      </c>
      <c r="I22" s="38"/>
      <c r="J22" s="38">
        <v>1</v>
      </c>
      <c r="K22" s="38"/>
      <c r="L22" s="38">
        <v>0</v>
      </c>
    </row>
    <row r="23" spans="1:15" ht="11.45" customHeight="1" x14ac:dyDescent="0.2">
      <c r="A23" s="55" t="s">
        <v>232</v>
      </c>
      <c r="E23" s="46">
        <f>E7+E10+E13+E16+E19</f>
        <v>285971</v>
      </c>
      <c r="F23" s="46">
        <f>F7+F10+F13+F16+F19</f>
        <v>116295</v>
      </c>
      <c r="G23" s="46">
        <f>F23*100/$E23</f>
        <v>40.666710960202259</v>
      </c>
      <c r="H23" s="46">
        <f>H7+H10+H13+H16+H19</f>
        <v>56480</v>
      </c>
      <c r="I23" s="46">
        <f>H23*100/$E23</f>
        <v>19.750254396424811</v>
      </c>
      <c r="J23" s="46">
        <f>J7+J10+J13+J16+J19</f>
        <v>83416</v>
      </c>
      <c r="K23" s="46">
        <f>J23*100/$E23</f>
        <v>29.16939130191523</v>
      </c>
      <c r="L23" s="46">
        <f>L7+L10+L13+L16+L19</f>
        <v>21003</v>
      </c>
      <c r="M23" s="46">
        <f>L23*100/$E23</f>
        <v>7.3444510107668259</v>
      </c>
      <c r="N23" s="46">
        <f>N7+N10+N13+N16+N19</f>
        <v>8777</v>
      </c>
      <c r="O23" s="46">
        <f>N23*100/$E23</f>
        <v>3.0691923306908744</v>
      </c>
    </row>
    <row r="24" spans="1:15" ht="11.45" customHeight="1" x14ac:dyDescent="0.2">
      <c r="A24" s="5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11.45" customHeight="1" x14ac:dyDescent="0.2">
      <c r="A25" s="55" t="s">
        <v>241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1.45" customHeight="1" x14ac:dyDescent="0.2">
      <c r="A26" s="38" t="s">
        <v>233</v>
      </c>
      <c r="E26" s="38">
        <f>F26+H26+J26+L26+N26</f>
        <v>4</v>
      </c>
      <c r="F26" s="38">
        <v>4</v>
      </c>
      <c r="H26" s="38">
        <v>0</v>
      </c>
      <c r="J26" s="38">
        <v>0</v>
      </c>
      <c r="L26" s="38">
        <v>0</v>
      </c>
    </row>
    <row r="27" spans="1:15" ht="11.45" customHeight="1" x14ac:dyDescent="0.2">
      <c r="A27" s="38" t="s">
        <v>234</v>
      </c>
      <c r="E27" s="38">
        <f>F27+H27+J27+L27+N27</f>
        <v>3</v>
      </c>
      <c r="F27" s="38">
        <v>0</v>
      </c>
      <c r="H27" s="38">
        <v>1</v>
      </c>
      <c r="J27" s="38">
        <v>2</v>
      </c>
    </row>
    <row r="28" spans="1:15" ht="11.45" customHeight="1" x14ac:dyDescent="0.2">
      <c r="A28" s="38" t="s">
        <v>236</v>
      </c>
      <c r="E28" s="38"/>
      <c r="F28" s="38"/>
      <c r="H28" s="38"/>
      <c r="J28" s="38"/>
    </row>
    <row r="29" spans="1:15" s="38" customFormat="1" ht="11.45" customHeight="1" x14ac:dyDescent="0.2">
      <c r="A29" s="38" t="s">
        <v>237</v>
      </c>
      <c r="G29" s="38">
        <f>4*12.5</f>
        <v>50</v>
      </c>
      <c r="I29" s="38">
        <f>1*12.5</f>
        <v>12.5</v>
      </c>
      <c r="K29" s="38">
        <f>2*12.5</f>
        <v>25</v>
      </c>
    </row>
    <row r="30" spans="1:15" ht="11.45" customHeight="1" x14ac:dyDescent="0.2">
      <c r="A30" s="38" t="s">
        <v>255</v>
      </c>
      <c r="E30" s="38"/>
      <c r="F30" s="38"/>
      <c r="G30" s="38">
        <v>-9.33</v>
      </c>
      <c r="H30" s="38"/>
      <c r="I30" s="38">
        <v>7.25</v>
      </c>
      <c r="J30" s="38"/>
      <c r="K30" s="38">
        <v>4.17</v>
      </c>
      <c r="M30" s="38">
        <v>7.34</v>
      </c>
      <c r="N30" s="38"/>
      <c r="O30" s="38">
        <v>3.0691999999999999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1</v>
      </c>
      <c r="F31" s="53"/>
      <c r="G31" s="53"/>
      <c r="H31" s="53"/>
      <c r="I31" s="53"/>
      <c r="J31" s="53"/>
      <c r="K31" s="52"/>
      <c r="L31" s="53">
        <v>1</v>
      </c>
      <c r="M31" s="52"/>
      <c r="N31" s="52"/>
      <c r="O31" s="52"/>
    </row>
    <row r="32" spans="1:15" ht="11.45" customHeight="1" x14ac:dyDescent="0.2">
      <c r="A32" s="38" t="s">
        <v>239</v>
      </c>
      <c r="E32" s="54">
        <f>E26+E27+E31</f>
        <v>8</v>
      </c>
      <c r="F32" s="38">
        <f>F26+F27+F31</f>
        <v>4</v>
      </c>
      <c r="G32" s="38"/>
      <c r="H32" s="38">
        <f t="shared" ref="H32:N32" si="5">H27+H31</f>
        <v>1</v>
      </c>
      <c r="I32" s="38"/>
      <c r="J32" s="38">
        <f t="shared" si="5"/>
        <v>2</v>
      </c>
      <c r="K32" s="38"/>
      <c r="L32" s="38">
        <f t="shared" si="5"/>
        <v>1</v>
      </c>
      <c r="M32" s="38"/>
      <c r="N32" s="38">
        <f t="shared" si="5"/>
        <v>0</v>
      </c>
      <c r="O32" s="38"/>
    </row>
    <row r="33" spans="1:15" ht="11.45" customHeight="1" x14ac:dyDescent="0.2">
      <c r="A33" s="38" t="s">
        <v>245</v>
      </c>
      <c r="E33" s="60">
        <f>G33+I33+K33+M33+O33</f>
        <v>85.54</v>
      </c>
      <c r="F33" s="38"/>
      <c r="G33" s="38">
        <v>40.700000000000003</v>
      </c>
      <c r="H33" s="38"/>
      <c r="I33" s="38">
        <v>12.5</v>
      </c>
      <c r="J33" s="38"/>
      <c r="K33" s="38">
        <v>25</v>
      </c>
      <c r="L33" s="38"/>
      <c r="M33" s="38">
        <v>7.34</v>
      </c>
      <c r="N33" s="38"/>
      <c r="O33" s="38">
        <v>0</v>
      </c>
    </row>
    <row r="34" spans="1:15" ht="11.45" customHeight="1" x14ac:dyDescent="0.2">
      <c r="A34" s="38" t="s">
        <v>314</v>
      </c>
      <c r="E34" s="54">
        <f>F34+H34+J34+L34</f>
        <v>244619.59340000001</v>
      </c>
      <c r="F34" s="38">
        <f>G33*$E23/100</f>
        <v>116390.19700000001</v>
      </c>
      <c r="G34" s="38"/>
      <c r="H34" s="38">
        <f>I33*$E23/100</f>
        <v>35746.375</v>
      </c>
      <c r="I34" s="38"/>
      <c r="J34" s="38">
        <f>K33*$E23/100</f>
        <v>71492.75</v>
      </c>
      <c r="K34" s="38"/>
      <c r="L34" s="38">
        <f>M33*$E23/100</f>
        <v>20990.271400000001</v>
      </c>
      <c r="M34"/>
      <c r="N34" s="38">
        <f>O33*$E23/100</f>
        <v>0</v>
      </c>
      <c r="O34" s="38"/>
    </row>
    <row r="35" spans="1:15" ht="11.45" customHeight="1" x14ac:dyDescent="0.2">
      <c r="A35" s="79" t="s">
        <v>313</v>
      </c>
      <c r="B35" s="80"/>
      <c r="C35" s="80"/>
      <c r="D35" s="80"/>
      <c r="E35" s="67" t="s">
        <v>247</v>
      </c>
      <c r="F35" s="63"/>
      <c r="G35" s="67" t="s">
        <v>248</v>
      </c>
      <c r="H35" s="63"/>
      <c r="I35" s="67" t="s">
        <v>249</v>
      </c>
      <c r="J35" s="63"/>
      <c r="K35" s="67" t="s">
        <v>250</v>
      </c>
      <c r="L35" s="63"/>
      <c r="M35" s="67" t="s">
        <v>251</v>
      </c>
      <c r="N35" s="63"/>
      <c r="O35" s="63"/>
    </row>
    <row r="36" spans="1:15" ht="11.45" customHeight="1" x14ac:dyDescent="0.2">
      <c r="A36" s="81" t="s">
        <v>312</v>
      </c>
      <c r="B36" s="82"/>
      <c r="C36" s="82"/>
      <c r="D36" s="82"/>
      <c r="E36" s="62" t="s">
        <v>299</v>
      </c>
      <c r="F36" s="38"/>
      <c r="G36" s="62" t="s">
        <v>296</v>
      </c>
      <c r="H36" s="38"/>
      <c r="I36" s="62" t="s">
        <v>297</v>
      </c>
      <c r="J36"/>
      <c r="K36" s="62" t="s">
        <v>298</v>
      </c>
      <c r="L36" s="38"/>
      <c r="M36" s="62" t="s">
        <v>260</v>
      </c>
      <c r="N36" s="38"/>
      <c r="O36" s="57" t="s">
        <v>260</v>
      </c>
    </row>
    <row r="37" spans="1:15" ht="11.45" customHeight="1" x14ac:dyDescent="0.2">
      <c r="A37" s="38" t="s">
        <v>240</v>
      </c>
    </row>
    <row r="38" spans="1:15" ht="11.45" customHeight="1" x14ac:dyDescent="0.2">
      <c r="A38" s="38" t="s">
        <v>252</v>
      </c>
    </row>
    <row r="39" spans="1:15" ht="11.45" customHeight="1" x14ac:dyDescent="0.2">
      <c r="A39" s="61" t="s">
        <v>276</v>
      </c>
      <c r="B39"/>
      <c r="C39"/>
      <c r="D39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11.45" customHeight="1" x14ac:dyDescent="0.2">
      <c r="A40" s="38" t="s">
        <v>253</v>
      </c>
      <c r="B40"/>
      <c r="C40"/>
      <c r="D40"/>
      <c r="E40" s="28">
        <f>F40+H40+J40+L40+N40</f>
        <v>118646</v>
      </c>
      <c r="F40" s="28">
        <f>F23-F8-F11</f>
        <v>93572</v>
      </c>
      <c r="G40" s="28">
        <f>F40*100/$E23</f>
        <v>32.720800360875756</v>
      </c>
      <c r="H40" s="28">
        <f>H8</f>
        <v>10943</v>
      </c>
      <c r="I40" s="28">
        <f>H40*100/$E23</f>
        <v>3.8266117893073073</v>
      </c>
      <c r="J40" s="28">
        <f>J11</f>
        <v>14131</v>
      </c>
      <c r="K40" s="28">
        <f>J40*100/$E23</f>
        <v>4.9414101429865269</v>
      </c>
      <c r="L40" s="28">
        <v>0</v>
      </c>
      <c r="M40" s="28">
        <f>L40*100/$E23</f>
        <v>0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B41"/>
      <c r="C41"/>
      <c r="D41"/>
      <c r="E41" s="95" t="s">
        <v>299</v>
      </c>
      <c r="F41" s="83"/>
      <c r="G41" s="95" t="s">
        <v>296</v>
      </c>
      <c r="H41" s="83"/>
      <c r="I41" s="95" t="s">
        <v>297</v>
      </c>
      <c r="J41" s="83"/>
      <c r="K41" s="95" t="s">
        <v>298</v>
      </c>
      <c r="L41" s="28"/>
      <c r="M41" s="95" t="s">
        <v>260</v>
      </c>
      <c r="N41" s="28"/>
      <c r="O41" s="95" t="s">
        <v>260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50" zoomScaleNormal="150" workbookViewId="0">
      <pane ySplit="4" topLeftCell="A21" activePane="bottomLeft" state="frozen"/>
      <selection pane="bottomLeft" activeCell="E29" sqref="E29"/>
    </sheetView>
  </sheetViews>
  <sheetFormatPr defaultColWidth="11.5703125" defaultRowHeight="11.45" customHeight="1" x14ac:dyDescent="0.2"/>
  <cols>
    <col min="1" max="1" width="5.5703125" customWidth="1"/>
    <col min="2" max="3" width="5.140625" customWidth="1"/>
    <col min="4" max="4" width="16.5703125" customWidth="1"/>
    <col min="5" max="5" width="6.140625" customWidth="1"/>
    <col min="6" max="6" width="5" customWidth="1"/>
    <col min="7" max="7" width="6" customWidth="1"/>
    <col min="8" max="10" width="5" customWidth="1"/>
    <col min="11" max="11" width="5.42578125" customWidth="1"/>
    <col min="12" max="15" width="5" customWidth="1"/>
  </cols>
  <sheetData>
    <row r="1" spans="1:15" ht="12.75" customHeight="1" x14ac:dyDescent="0.2">
      <c r="A1" t="s">
        <v>331</v>
      </c>
    </row>
    <row r="2" spans="1:15" ht="12.75" customHeight="1" x14ac:dyDescent="0.2">
      <c r="A2" t="s">
        <v>211</v>
      </c>
    </row>
    <row r="3" spans="1:15" ht="12.75" customHeight="1" x14ac:dyDescent="0.2">
      <c r="E3" s="35" t="s">
        <v>205</v>
      </c>
    </row>
    <row r="4" spans="1:15" ht="12.75" customHeight="1" x14ac:dyDescent="0.2">
      <c r="A4" s="36" t="s">
        <v>206</v>
      </c>
      <c r="B4" s="36" t="s">
        <v>207</v>
      </c>
      <c r="C4" s="36" t="s">
        <v>208</v>
      </c>
      <c r="D4" s="37" t="s">
        <v>209</v>
      </c>
      <c r="E4" s="6" t="s">
        <v>4</v>
      </c>
      <c r="F4" s="7" t="s">
        <v>5</v>
      </c>
      <c r="G4" s="7" t="s">
        <v>6</v>
      </c>
      <c r="H4" s="8" t="s">
        <v>7</v>
      </c>
      <c r="I4" s="8" t="s">
        <v>6</v>
      </c>
      <c r="J4" s="9" t="s">
        <v>8</v>
      </c>
      <c r="K4" s="9" t="s">
        <v>6</v>
      </c>
      <c r="L4" s="10" t="s">
        <v>9</v>
      </c>
      <c r="M4" s="10" t="s">
        <v>6</v>
      </c>
      <c r="N4" s="6" t="s">
        <v>10</v>
      </c>
      <c r="O4" s="6" t="s">
        <v>6</v>
      </c>
    </row>
    <row r="5" spans="1:15" ht="11.45" customHeight="1" x14ac:dyDescent="0.2">
      <c r="A5" s="1">
        <v>57</v>
      </c>
      <c r="B5" s="1"/>
      <c r="C5" s="1"/>
      <c r="D5" s="20" t="s">
        <v>69</v>
      </c>
      <c r="E5" s="1">
        <f>F5+H5+J5+L5+N5</f>
        <v>42406</v>
      </c>
      <c r="F5" s="1">
        <v>14362</v>
      </c>
      <c r="G5" s="1">
        <f t="shared" ref="G5:G10" si="0">F5*100/$E5</f>
        <v>33.867848889308114</v>
      </c>
      <c r="H5" s="1">
        <v>4274</v>
      </c>
      <c r="I5" s="1">
        <f t="shared" ref="I5:I10" si="1">H5*100/$E5</f>
        <v>10.07876243927746</v>
      </c>
      <c r="J5" s="1">
        <v>21306</v>
      </c>
      <c r="K5" s="1">
        <f t="shared" ref="K5:K10" si="2">J5*100/$E5</f>
        <v>50.242890157053246</v>
      </c>
      <c r="L5" s="1">
        <v>1444</v>
      </c>
      <c r="M5" s="1">
        <f t="shared" ref="M5:M10" si="3">L5*100/$E5</f>
        <v>3.4051785124746496</v>
      </c>
      <c r="N5" s="1">
        <f>561+274+185</f>
        <v>1020</v>
      </c>
      <c r="O5" s="1">
        <f t="shared" ref="O5:O10" si="4">N5*100/$E5</f>
        <v>2.4053200018865253</v>
      </c>
    </row>
    <row r="6" spans="1:15" ht="11.45" customHeight="1" x14ac:dyDescent="0.2">
      <c r="A6" s="1">
        <v>25</v>
      </c>
      <c r="B6" s="1"/>
      <c r="C6" s="1"/>
      <c r="D6" s="20" t="s">
        <v>70</v>
      </c>
      <c r="E6" s="1">
        <f>F6+H6+J6+L6+N6</f>
        <v>43359</v>
      </c>
      <c r="F6" s="1">
        <v>12940</v>
      </c>
      <c r="G6" s="1">
        <f t="shared" si="0"/>
        <v>29.843861712677874</v>
      </c>
      <c r="H6" s="1">
        <v>5279</v>
      </c>
      <c r="I6" s="1">
        <f t="shared" si="1"/>
        <v>12.175096289121059</v>
      </c>
      <c r="J6" s="1">
        <v>22679</v>
      </c>
      <c r="K6" s="1">
        <f t="shared" si="2"/>
        <v>52.305173089785278</v>
      </c>
      <c r="L6" s="1">
        <v>1717</v>
      </c>
      <c r="M6" s="1">
        <f t="shared" si="3"/>
        <v>3.9599621762494523</v>
      </c>
      <c r="N6" s="1">
        <f>455+289</f>
        <v>744</v>
      </c>
      <c r="O6" s="1">
        <f t="shared" si="4"/>
        <v>1.7159067321663322</v>
      </c>
    </row>
    <row r="7" spans="1:15" ht="11.45" customHeight="1" x14ac:dyDescent="0.2">
      <c r="A7" s="1"/>
      <c r="B7" s="1">
        <v>20</v>
      </c>
      <c r="C7" s="1" t="s">
        <v>8</v>
      </c>
      <c r="D7" s="20" t="s">
        <v>71</v>
      </c>
      <c r="E7" s="16">
        <f>E5+E6</f>
        <v>85765</v>
      </c>
      <c r="F7" s="16">
        <f>F5+F6</f>
        <v>27302</v>
      </c>
      <c r="G7" s="16">
        <f t="shared" si="0"/>
        <v>31.833498513379585</v>
      </c>
      <c r="H7" s="16">
        <f>H5+H6</f>
        <v>9553</v>
      </c>
      <c r="I7" s="16">
        <f t="shared" si="1"/>
        <v>11.138576342330788</v>
      </c>
      <c r="J7" s="16">
        <f>J5+J6</f>
        <v>43985</v>
      </c>
      <c r="K7" s="16">
        <f t="shared" si="2"/>
        <v>51.285489418760569</v>
      </c>
      <c r="L7" s="16">
        <f>L5+L6</f>
        <v>3161</v>
      </c>
      <c r="M7" s="16">
        <f t="shared" si="3"/>
        <v>3.6856526555121554</v>
      </c>
      <c r="N7" s="16">
        <f>N5+N6</f>
        <v>1764</v>
      </c>
      <c r="O7" s="16">
        <f t="shared" si="4"/>
        <v>2.0567830700169067</v>
      </c>
    </row>
    <row r="8" spans="1:15" ht="11.45" customHeight="1" x14ac:dyDescent="0.2">
      <c r="A8" s="1">
        <v>23</v>
      </c>
      <c r="B8" s="1"/>
      <c r="C8" s="1"/>
      <c r="D8" s="15" t="s">
        <v>72</v>
      </c>
      <c r="E8" s="1">
        <f>F8+H8+J8+L8+N8</f>
        <v>36168</v>
      </c>
      <c r="F8" s="1">
        <v>12686</v>
      </c>
      <c r="G8" s="1">
        <f t="shared" si="0"/>
        <v>35.075204600752045</v>
      </c>
      <c r="H8" s="1">
        <v>11909</v>
      </c>
      <c r="I8" s="1">
        <f t="shared" si="1"/>
        <v>32.92689670426897</v>
      </c>
      <c r="J8" s="1">
        <v>9519</v>
      </c>
      <c r="K8" s="1">
        <f t="shared" si="2"/>
        <v>26.318845388188453</v>
      </c>
      <c r="L8" s="1">
        <v>1468</v>
      </c>
      <c r="M8" s="1">
        <f t="shared" si="3"/>
        <v>4.0588365405883655</v>
      </c>
      <c r="N8" s="1">
        <f>323+263</f>
        <v>586</v>
      </c>
      <c r="O8" s="1">
        <f t="shared" si="4"/>
        <v>1.6202167662021676</v>
      </c>
    </row>
    <row r="9" spans="1:15" ht="11.45" customHeight="1" x14ac:dyDescent="0.2">
      <c r="A9" s="1">
        <v>79</v>
      </c>
      <c r="B9" s="1"/>
      <c r="C9" s="1"/>
      <c r="D9" s="15" t="s">
        <v>73</v>
      </c>
      <c r="E9" s="1">
        <f>F9+H9+J9+L9+N9</f>
        <v>41301</v>
      </c>
      <c r="F9" s="1">
        <v>17113</v>
      </c>
      <c r="G9" s="1">
        <f t="shared" si="0"/>
        <v>41.434832086390159</v>
      </c>
      <c r="H9" s="1">
        <v>7232</v>
      </c>
      <c r="I9" s="1">
        <f t="shared" si="1"/>
        <v>17.510471901406746</v>
      </c>
      <c r="J9" s="1">
        <v>14322</v>
      </c>
      <c r="K9" s="1">
        <f t="shared" si="2"/>
        <v>34.677126461829012</v>
      </c>
      <c r="L9" s="1">
        <v>1971</v>
      </c>
      <c r="M9" s="1">
        <f t="shared" si="3"/>
        <v>4.772281542819786</v>
      </c>
      <c r="N9" s="1">
        <f>407+256</f>
        <v>663</v>
      </c>
      <c r="O9" s="1">
        <f t="shared" si="4"/>
        <v>1.6052880075542966</v>
      </c>
    </row>
    <row r="10" spans="1:15" ht="11.45" customHeight="1" x14ac:dyDescent="0.2">
      <c r="A10" s="1"/>
      <c r="B10" s="1">
        <v>21</v>
      </c>
      <c r="C10" s="5" t="s">
        <v>5</v>
      </c>
      <c r="D10" s="15" t="s">
        <v>74</v>
      </c>
      <c r="E10" s="16">
        <f>E8+E9</f>
        <v>77469</v>
      </c>
      <c r="F10" s="16">
        <f>F8+F9</f>
        <v>29799</v>
      </c>
      <c r="G10" s="16">
        <f t="shared" si="0"/>
        <v>38.465708864190837</v>
      </c>
      <c r="H10" s="16">
        <f>H8+H9</f>
        <v>19141</v>
      </c>
      <c r="I10" s="16">
        <f t="shared" si="1"/>
        <v>24.707947695207114</v>
      </c>
      <c r="J10" s="16">
        <f>J8+J9</f>
        <v>23841</v>
      </c>
      <c r="K10" s="16">
        <f t="shared" si="2"/>
        <v>30.77489060140185</v>
      </c>
      <c r="L10" s="16">
        <f>L8+L9</f>
        <v>3439</v>
      </c>
      <c r="M10" s="16">
        <f t="shared" si="3"/>
        <v>4.4391950328518508</v>
      </c>
      <c r="N10" s="16">
        <f>N8+N9</f>
        <v>1249</v>
      </c>
      <c r="O10" s="16">
        <f t="shared" si="4"/>
        <v>1.6122578063483457</v>
      </c>
    </row>
    <row r="20" spans="1:15" ht="11.45" customHeight="1" x14ac:dyDescent="0.2">
      <c r="H20" s="46"/>
    </row>
    <row r="21" spans="1:15" ht="11.45" customHeight="1" x14ac:dyDescent="0.2">
      <c r="A21" s="39" t="s">
        <v>210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11.45" customHeight="1" x14ac:dyDescent="0.2">
      <c r="A22" s="55" t="s">
        <v>231</v>
      </c>
      <c r="B22" s="39"/>
      <c r="C22" s="39"/>
      <c r="D22" s="39"/>
      <c r="E22" s="51">
        <v>4</v>
      </c>
      <c r="F22" s="51">
        <v>2</v>
      </c>
      <c r="G22" s="39"/>
      <c r="H22" s="38">
        <v>0</v>
      </c>
      <c r="I22" s="38"/>
      <c r="J22" s="38">
        <v>2</v>
      </c>
      <c r="K22" s="38"/>
      <c r="L22" s="38">
        <v>0</v>
      </c>
      <c r="M22" s="39"/>
      <c r="N22" s="39"/>
      <c r="O22" s="39"/>
    </row>
    <row r="23" spans="1:15" ht="11.45" customHeight="1" x14ac:dyDescent="0.2">
      <c r="A23" s="55" t="s">
        <v>232</v>
      </c>
      <c r="B23" s="39"/>
      <c r="C23" s="39"/>
      <c r="D23" s="39"/>
      <c r="E23" s="46">
        <f>E7+E10+E13+E16+E19</f>
        <v>163234</v>
      </c>
      <c r="F23" s="46">
        <f>F7+F10+F13+F16+F19</f>
        <v>57101</v>
      </c>
      <c r="G23" s="46">
        <f>F23*100/$E23</f>
        <v>34.981070120195547</v>
      </c>
      <c r="H23" s="46">
        <f>H7+H10+H13+H16+H19</f>
        <v>28694</v>
      </c>
      <c r="I23" s="46">
        <f>H23*100/$E23</f>
        <v>17.57844566695664</v>
      </c>
      <c r="J23" s="46">
        <f>J7+J10+J13+J16+J19</f>
        <v>67826</v>
      </c>
      <c r="K23" s="46">
        <f>J23*100/$E23</f>
        <v>41.551392479507946</v>
      </c>
      <c r="L23" s="46">
        <f>L7+L10+L13+L16+L19</f>
        <v>6600</v>
      </c>
      <c r="M23" s="46">
        <f>L23*100/$E23</f>
        <v>4.0432752980383988</v>
      </c>
      <c r="N23" s="46">
        <f>N7+N10+N13+N16+N19</f>
        <v>3013</v>
      </c>
      <c r="O23" s="46">
        <f>N23*100/$E23</f>
        <v>1.845816435301469</v>
      </c>
    </row>
    <row r="24" spans="1:15" ht="11.45" customHeight="1" x14ac:dyDescent="0.2">
      <c r="A24" s="55"/>
      <c r="B24" s="39"/>
      <c r="C24" s="39"/>
      <c r="D24" s="3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11.45" customHeight="1" x14ac:dyDescent="0.2">
      <c r="A25" s="55" t="s">
        <v>241</v>
      </c>
      <c r="B25" s="39"/>
      <c r="C25" s="39"/>
      <c r="D25" s="3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1.45" customHeight="1" x14ac:dyDescent="0.2">
      <c r="A26" s="38" t="s">
        <v>233</v>
      </c>
      <c r="B26" s="39"/>
      <c r="C26" s="39"/>
      <c r="D26" s="39"/>
      <c r="E26" s="38">
        <f>F26+H26+J26+L26+N26</f>
        <v>2</v>
      </c>
      <c r="F26" s="38">
        <v>1</v>
      </c>
      <c r="G26" s="39"/>
      <c r="H26" s="38">
        <v>0</v>
      </c>
      <c r="I26" s="39"/>
      <c r="J26" s="38">
        <v>1</v>
      </c>
      <c r="K26" s="39"/>
      <c r="L26" s="38">
        <v>0</v>
      </c>
      <c r="M26" s="39"/>
      <c r="N26" s="39"/>
      <c r="O26" s="39"/>
    </row>
    <row r="27" spans="1:15" ht="11.45" customHeight="1" x14ac:dyDescent="0.2">
      <c r="A27" s="38" t="s">
        <v>234</v>
      </c>
      <c r="B27" s="39"/>
      <c r="C27" s="39"/>
      <c r="D27" s="39"/>
      <c r="E27" s="38">
        <f>F27+H27+J27+L27+N27</f>
        <v>0</v>
      </c>
      <c r="F27" s="38">
        <v>0</v>
      </c>
      <c r="G27" s="39"/>
      <c r="H27" s="38">
        <v>0</v>
      </c>
      <c r="I27" s="39"/>
      <c r="J27" s="38">
        <v>0</v>
      </c>
      <c r="K27" s="39"/>
      <c r="L27" s="38">
        <v>0</v>
      </c>
      <c r="M27" s="39"/>
      <c r="N27" s="39"/>
      <c r="O27" s="39"/>
    </row>
    <row r="28" spans="1:15" ht="11.45" customHeight="1" x14ac:dyDescent="0.2">
      <c r="A28" s="38" t="s">
        <v>242</v>
      </c>
      <c r="B28" s="39"/>
      <c r="C28" s="39"/>
      <c r="D28" s="39"/>
      <c r="E28" s="38"/>
      <c r="F28" s="38"/>
      <c r="G28" s="39"/>
      <c r="H28" s="38"/>
      <c r="I28" s="39"/>
      <c r="J28" s="38"/>
      <c r="K28" s="39"/>
      <c r="L28" s="39"/>
      <c r="M28" s="39"/>
      <c r="N28" s="39"/>
      <c r="O28" s="39"/>
    </row>
    <row r="29" spans="1:15" ht="11.45" customHeight="1" x14ac:dyDescent="0.2">
      <c r="A29" s="38" t="s">
        <v>237</v>
      </c>
      <c r="B29" s="38"/>
      <c r="C29" s="38"/>
      <c r="D29" s="38"/>
      <c r="E29" s="38"/>
      <c r="F29" s="38"/>
      <c r="G29" s="38">
        <v>25</v>
      </c>
      <c r="H29" s="38"/>
      <c r="I29" s="38">
        <v>0</v>
      </c>
      <c r="J29" s="38"/>
      <c r="K29" s="38">
        <f>2*12.5</f>
        <v>25</v>
      </c>
      <c r="L29" s="38"/>
      <c r="M29" s="38"/>
      <c r="N29" s="38"/>
      <c r="O29" s="38"/>
    </row>
    <row r="30" spans="1:15" ht="11.45" customHeight="1" x14ac:dyDescent="0.2">
      <c r="A30" s="38" t="s">
        <v>255</v>
      </c>
      <c r="B30" s="39"/>
      <c r="C30" s="39"/>
      <c r="D30" s="39"/>
      <c r="E30" s="38"/>
      <c r="F30" s="38"/>
      <c r="G30" s="38">
        <v>9.98</v>
      </c>
      <c r="H30" s="38"/>
      <c r="I30" s="38">
        <v>17.577999999999999</v>
      </c>
      <c r="J30" s="38"/>
      <c r="K30" s="38">
        <v>16.55</v>
      </c>
      <c r="L30" s="39"/>
      <c r="M30" s="38">
        <v>4.04</v>
      </c>
      <c r="N30" s="38"/>
      <c r="O30" s="38">
        <v>1.85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2</v>
      </c>
      <c r="F31" s="53">
        <v>0</v>
      </c>
      <c r="G31" s="53"/>
      <c r="H31" s="53">
        <v>1</v>
      </c>
      <c r="I31" s="53"/>
      <c r="J31" s="53">
        <v>1</v>
      </c>
      <c r="K31" s="52"/>
      <c r="L31" s="53">
        <v>0</v>
      </c>
      <c r="M31" s="52"/>
      <c r="N31" s="52"/>
      <c r="O31" s="52"/>
    </row>
    <row r="32" spans="1:15" ht="11.45" customHeight="1" x14ac:dyDescent="0.2">
      <c r="A32" s="38" t="s">
        <v>239</v>
      </c>
      <c r="B32" s="39"/>
      <c r="C32" s="39"/>
      <c r="D32" s="39"/>
      <c r="E32" s="54">
        <f>E26+E27+E31</f>
        <v>4</v>
      </c>
      <c r="F32" s="38">
        <v>1</v>
      </c>
      <c r="G32" s="38"/>
      <c r="H32" s="38">
        <v>1</v>
      </c>
      <c r="I32" s="38"/>
      <c r="J32" s="38">
        <v>2</v>
      </c>
      <c r="K32" s="38"/>
      <c r="L32" s="38">
        <f>L27+L31</f>
        <v>0</v>
      </c>
      <c r="M32" s="38"/>
      <c r="N32" s="38">
        <f>N27+N31</f>
        <v>0</v>
      </c>
      <c r="O32" s="38"/>
    </row>
    <row r="33" spans="1:15" ht="11.45" customHeight="1" x14ac:dyDescent="0.2">
      <c r="A33" s="38" t="s">
        <v>245</v>
      </c>
      <c r="B33" s="39"/>
      <c r="C33" s="39"/>
      <c r="D33" s="39"/>
      <c r="E33" s="56">
        <f>G33+I33+K33+M33+O33</f>
        <v>84.13</v>
      </c>
      <c r="F33" s="38"/>
      <c r="G33" s="38">
        <v>25</v>
      </c>
      <c r="H33" s="38"/>
      <c r="I33" s="38">
        <v>17.579999999999998</v>
      </c>
      <c r="J33" s="38"/>
      <c r="K33" s="38">
        <v>41.55</v>
      </c>
      <c r="L33" s="38"/>
      <c r="M33" s="38">
        <v>0</v>
      </c>
      <c r="N33" s="38"/>
      <c r="O33" s="38">
        <v>0</v>
      </c>
    </row>
    <row r="34" spans="1:15" ht="11.45" customHeight="1" x14ac:dyDescent="0.2">
      <c r="A34" s="38" t="s">
        <v>314</v>
      </c>
      <c r="E34" s="54">
        <f>F34+H34+J34+L34</f>
        <v>137328.76419999998</v>
      </c>
      <c r="F34" s="38">
        <f>G33*$E23/100</f>
        <v>40808.5</v>
      </c>
      <c r="G34" s="38"/>
      <c r="H34" s="38">
        <f>I33*$E23/100</f>
        <v>28696.537199999999</v>
      </c>
      <c r="I34" s="38"/>
      <c r="J34" s="38">
        <f>K33*$E23/100</f>
        <v>67823.726999999999</v>
      </c>
      <c r="K34" s="38"/>
      <c r="L34" s="38">
        <f>M33*$E23/100</f>
        <v>0</v>
      </c>
      <c r="N34" s="38">
        <f>O33*$E23/100</f>
        <v>0</v>
      </c>
      <c r="O34" s="38"/>
    </row>
    <row r="35" spans="1:15" ht="11.45" customHeight="1" x14ac:dyDescent="0.2">
      <c r="A35" s="79" t="s">
        <v>313</v>
      </c>
      <c r="B35" s="80"/>
      <c r="C35" s="80"/>
      <c r="D35" s="80"/>
      <c r="E35" s="67" t="s">
        <v>258</v>
      </c>
      <c r="F35" s="63"/>
      <c r="G35" s="67" t="s">
        <v>250</v>
      </c>
      <c r="H35" s="63"/>
      <c r="I35" s="67" t="s">
        <v>256</v>
      </c>
      <c r="J35" s="63"/>
      <c r="K35" s="67" t="s">
        <v>257</v>
      </c>
      <c r="L35" s="63"/>
      <c r="M35" s="67" t="s">
        <v>254</v>
      </c>
      <c r="N35" s="63"/>
      <c r="O35" s="38"/>
    </row>
    <row r="36" spans="1:15" ht="11.45" customHeight="1" x14ac:dyDescent="0.2">
      <c r="A36" s="81" t="s">
        <v>312</v>
      </c>
      <c r="B36" s="82"/>
      <c r="C36" s="82"/>
      <c r="D36" s="82"/>
      <c r="E36" s="62" t="s">
        <v>302</v>
      </c>
      <c r="F36" s="38"/>
      <c r="G36" s="62" t="s">
        <v>301</v>
      </c>
      <c r="H36" s="38"/>
      <c r="I36" s="62" t="s">
        <v>260</v>
      </c>
      <c r="K36" s="62" t="s">
        <v>300</v>
      </c>
      <c r="L36" s="38"/>
      <c r="M36" s="62" t="s">
        <v>260</v>
      </c>
      <c r="N36" s="38"/>
      <c r="O36" s="38"/>
    </row>
    <row r="37" spans="1:15" ht="11.45" customHeight="1" x14ac:dyDescent="0.2">
      <c r="A37" s="38" t="s">
        <v>240</v>
      </c>
      <c r="B37" s="39"/>
      <c r="C37" s="39"/>
      <c r="D37" s="39"/>
    </row>
    <row r="38" spans="1:15" ht="11.45" customHeight="1" x14ac:dyDescent="0.2">
      <c r="A38" s="38" t="s">
        <v>252</v>
      </c>
      <c r="B38" s="39"/>
      <c r="C38" s="39"/>
      <c r="D38" s="39"/>
    </row>
    <row r="39" spans="1:15" ht="11.45" customHeight="1" x14ac:dyDescent="0.2">
      <c r="A39" s="61" t="s">
        <v>276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11.45" customHeight="1" x14ac:dyDescent="0.2">
      <c r="A40" s="38" t="s">
        <v>253</v>
      </c>
      <c r="E40" s="28">
        <f>F40+H40+J40+L40+N40</f>
        <v>73784</v>
      </c>
      <c r="F40" s="28">
        <f>F8+F9</f>
        <v>29799</v>
      </c>
      <c r="G40" s="28">
        <f>F40*100/$E23</f>
        <v>18.255387970643373</v>
      </c>
      <c r="H40" s="28">
        <v>0</v>
      </c>
      <c r="I40" s="28">
        <f>H40*100/$E23</f>
        <v>0</v>
      </c>
      <c r="J40" s="28">
        <f>J5+J6</f>
        <v>43985</v>
      </c>
      <c r="K40" s="28">
        <f>J40*100/$E23</f>
        <v>26.945979391548331</v>
      </c>
      <c r="L40" s="28">
        <v>0</v>
      </c>
      <c r="M40" s="28">
        <f>L40*100/$E23</f>
        <v>0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E41" s="95" t="s">
        <v>302</v>
      </c>
      <c r="F41" s="83"/>
      <c r="G41" s="95" t="s">
        <v>301</v>
      </c>
      <c r="H41" s="83"/>
      <c r="I41" s="95" t="s">
        <v>260</v>
      </c>
      <c r="J41" s="83"/>
      <c r="K41" s="95" t="s">
        <v>278</v>
      </c>
      <c r="L41" s="28"/>
      <c r="M41" s="95" t="s">
        <v>260</v>
      </c>
      <c r="N41" s="28"/>
      <c r="O41" s="95" t="s">
        <v>260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50" zoomScaleNormal="150" workbookViewId="0">
      <pane ySplit="4" topLeftCell="A5" activePane="bottomLeft" state="frozen"/>
      <selection pane="bottomLeft" activeCell="E29" sqref="E29"/>
    </sheetView>
  </sheetViews>
  <sheetFormatPr defaultColWidth="11.5703125" defaultRowHeight="11.45" customHeight="1" x14ac:dyDescent="0.2"/>
  <cols>
    <col min="1" max="1" width="5.5703125" customWidth="1"/>
    <col min="2" max="3" width="5.140625" customWidth="1"/>
    <col min="4" max="4" width="14.140625" customWidth="1"/>
    <col min="5" max="5" width="6.140625" customWidth="1"/>
    <col min="6" max="8" width="5" customWidth="1"/>
    <col min="9" max="9" width="5.7109375" customWidth="1"/>
    <col min="10" max="13" width="5" customWidth="1"/>
    <col min="14" max="14" width="4.28515625" customWidth="1"/>
    <col min="15" max="15" width="5" customWidth="1"/>
  </cols>
  <sheetData>
    <row r="1" spans="1:15" ht="12.75" customHeight="1" x14ac:dyDescent="0.2">
      <c r="A1" t="s">
        <v>331</v>
      </c>
    </row>
    <row r="2" spans="1:15" ht="12.75" customHeight="1" x14ac:dyDescent="0.2">
      <c r="A2" t="s">
        <v>212</v>
      </c>
    </row>
    <row r="3" spans="1:15" ht="12.75" customHeight="1" x14ac:dyDescent="0.2">
      <c r="E3" s="35" t="s">
        <v>205</v>
      </c>
    </row>
    <row r="4" spans="1:15" ht="12.75" customHeight="1" x14ac:dyDescent="0.2">
      <c r="A4" s="36" t="s">
        <v>206</v>
      </c>
      <c r="B4" s="36" t="s">
        <v>207</v>
      </c>
      <c r="C4" s="36" t="s">
        <v>208</v>
      </c>
      <c r="D4" s="37" t="s">
        <v>209</v>
      </c>
      <c r="E4" s="6" t="s">
        <v>4</v>
      </c>
      <c r="F4" s="7" t="s">
        <v>5</v>
      </c>
      <c r="G4" s="7" t="s">
        <v>6</v>
      </c>
      <c r="H4" s="8" t="s">
        <v>7</v>
      </c>
      <c r="I4" s="8" t="s">
        <v>6</v>
      </c>
      <c r="J4" s="9" t="s">
        <v>8</v>
      </c>
      <c r="K4" s="9" t="s">
        <v>6</v>
      </c>
      <c r="L4" s="10" t="s">
        <v>9</v>
      </c>
      <c r="M4" s="10" t="s">
        <v>6</v>
      </c>
      <c r="N4" s="6" t="s">
        <v>10</v>
      </c>
      <c r="O4" s="6" t="s">
        <v>6</v>
      </c>
    </row>
    <row r="5" spans="1:15" ht="11.45" customHeight="1" x14ac:dyDescent="0.2">
      <c r="A5" s="1">
        <v>117</v>
      </c>
      <c r="B5" s="1"/>
      <c r="C5" s="1"/>
      <c r="D5" s="15" t="s">
        <v>14</v>
      </c>
      <c r="E5" s="1">
        <f>F5+H5+J5+L5+N5</f>
        <v>10354</v>
      </c>
      <c r="F5" s="1">
        <v>4444</v>
      </c>
      <c r="G5" s="1">
        <v>42.92</v>
      </c>
      <c r="H5" s="1">
        <v>3430</v>
      </c>
      <c r="I5" s="1">
        <v>33.130000000000003</v>
      </c>
      <c r="J5" s="1">
        <v>1660</v>
      </c>
      <c r="K5" s="1">
        <v>16.03</v>
      </c>
      <c r="L5" s="1">
        <v>467</v>
      </c>
      <c r="M5" s="1">
        <v>4.51</v>
      </c>
      <c r="N5" s="1">
        <v>353</v>
      </c>
      <c r="O5" s="1">
        <v>3.4</v>
      </c>
    </row>
    <row r="6" spans="1:15" ht="11.45" customHeight="1" x14ac:dyDescent="0.2">
      <c r="A6" s="1">
        <v>34</v>
      </c>
      <c r="B6" s="1"/>
      <c r="C6" s="1"/>
      <c r="D6" s="15" t="s">
        <v>15</v>
      </c>
      <c r="E6" s="1">
        <f>F6+H6+J6+L6+N6</f>
        <v>27755</v>
      </c>
      <c r="F6" s="1">
        <v>11386</v>
      </c>
      <c r="G6" s="1">
        <v>41.02</v>
      </c>
      <c r="H6" s="1">
        <v>8919</v>
      </c>
      <c r="I6" s="1">
        <v>32.130000000000003</v>
      </c>
      <c r="J6" s="1">
        <v>5240</v>
      </c>
      <c r="K6" s="1">
        <v>18.88</v>
      </c>
      <c r="L6" s="1">
        <v>1494</v>
      </c>
      <c r="M6" s="1">
        <v>5.38</v>
      </c>
      <c r="N6" s="1">
        <v>716</v>
      </c>
      <c r="O6" s="1">
        <v>2.58</v>
      </c>
    </row>
    <row r="7" spans="1:15" ht="11.45" customHeight="1" x14ac:dyDescent="0.2">
      <c r="B7" s="1">
        <v>2</v>
      </c>
      <c r="C7" s="5" t="s">
        <v>5</v>
      </c>
      <c r="D7" s="15" t="s">
        <v>16</v>
      </c>
      <c r="E7" s="16">
        <f>E5+E6</f>
        <v>38109</v>
      </c>
      <c r="F7" s="16">
        <f>F5+F6</f>
        <v>15830</v>
      </c>
      <c r="G7" s="16">
        <f>F7*100/$E7</f>
        <v>41.538744128683511</v>
      </c>
      <c r="H7" s="16">
        <f>H5+H6</f>
        <v>12349</v>
      </c>
      <c r="I7" s="16">
        <f>H7*100/$E7</f>
        <v>32.404418903671051</v>
      </c>
      <c r="J7" s="16">
        <f>J5+J6</f>
        <v>6900</v>
      </c>
      <c r="K7" s="16">
        <f>J7*100/$E7</f>
        <v>18.105959222230968</v>
      </c>
      <c r="L7" s="16">
        <f>L5+L6</f>
        <v>1961</v>
      </c>
      <c r="M7" s="16">
        <f>L7*100/$E7</f>
        <v>5.1457660919992652</v>
      </c>
      <c r="N7" s="16">
        <f>N5+N6</f>
        <v>1069</v>
      </c>
      <c r="O7" s="16">
        <f>N7*100/$E7</f>
        <v>2.8051116534152039</v>
      </c>
    </row>
    <row r="8" spans="1:15" ht="11.45" customHeight="1" x14ac:dyDescent="0.2">
      <c r="A8" s="1">
        <v>35</v>
      </c>
      <c r="B8" s="1"/>
      <c r="C8" s="1"/>
      <c r="D8" s="17" t="s">
        <v>17</v>
      </c>
      <c r="E8" s="1">
        <f>F8+H8+J8+L8+N8</f>
        <v>22282</v>
      </c>
      <c r="F8" s="1">
        <v>8513</v>
      </c>
      <c r="G8" s="1">
        <v>38.21</v>
      </c>
      <c r="H8" s="1">
        <v>8872</v>
      </c>
      <c r="I8" s="1">
        <v>39.82</v>
      </c>
      <c r="J8" s="1">
        <v>2898</v>
      </c>
      <c r="K8" s="1">
        <v>13.01</v>
      </c>
      <c r="L8" s="1">
        <v>1502</v>
      </c>
      <c r="M8" s="1">
        <v>6.74</v>
      </c>
      <c r="N8" s="1">
        <v>497</v>
      </c>
      <c r="O8" s="1">
        <v>2.23</v>
      </c>
    </row>
    <row r="9" spans="1:15" ht="11.45" customHeight="1" x14ac:dyDescent="0.2">
      <c r="A9" s="1">
        <v>90</v>
      </c>
      <c r="B9" s="1"/>
      <c r="C9" s="1"/>
      <c r="D9" s="17" t="s">
        <v>18</v>
      </c>
      <c r="E9" s="1">
        <f>F9+H9+J9+L9+N9</f>
        <v>20051</v>
      </c>
      <c r="F9" s="1">
        <v>4366</v>
      </c>
      <c r="G9" s="1">
        <v>21.77</v>
      </c>
      <c r="H9" s="1">
        <v>11029</v>
      </c>
      <c r="I9" s="1">
        <v>55</v>
      </c>
      <c r="J9" s="1">
        <v>3152</v>
      </c>
      <c r="K9" s="1">
        <v>15.72</v>
      </c>
      <c r="L9" s="1">
        <v>1297</v>
      </c>
      <c r="M9" s="1">
        <v>6.47</v>
      </c>
      <c r="N9" s="1">
        <v>207</v>
      </c>
      <c r="O9" s="1">
        <v>1.03</v>
      </c>
    </row>
    <row r="10" spans="1:15" ht="11.45" customHeight="1" x14ac:dyDescent="0.2">
      <c r="A10" s="1"/>
      <c r="B10" s="1">
        <v>3</v>
      </c>
      <c r="C10" s="1" t="s">
        <v>7</v>
      </c>
      <c r="D10" s="17" t="s">
        <v>19</v>
      </c>
      <c r="E10" s="16">
        <f>E8+E9</f>
        <v>42333</v>
      </c>
      <c r="F10" s="16">
        <f>F8+F9</f>
        <v>12879</v>
      </c>
      <c r="G10" s="16">
        <f>F10*100/$E10</f>
        <v>30.423074197434627</v>
      </c>
      <c r="H10" s="16">
        <f>H8+H9</f>
        <v>19901</v>
      </c>
      <c r="I10" s="16">
        <f>H10*100/$E10</f>
        <v>47.010606382727424</v>
      </c>
      <c r="J10" s="16">
        <f>J8+J9</f>
        <v>6050</v>
      </c>
      <c r="K10" s="16">
        <f>J10*100/$E10</f>
        <v>14.291451113788298</v>
      </c>
      <c r="L10" s="16">
        <f>L8+L9</f>
        <v>2799</v>
      </c>
      <c r="M10" s="16">
        <f>L10*100/$E10</f>
        <v>6.6118630855361067</v>
      </c>
      <c r="N10" s="16">
        <f>N8+N9</f>
        <v>704</v>
      </c>
      <c r="O10" s="16">
        <f>N10*100/$E10</f>
        <v>1.6630052205135473</v>
      </c>
    </row>
    <row r="11" spans="1:15" ht="11.45" customHeight="1" x14ac:dyDescent="0.2">
      <c r="A11" s="1">
        <v>53</v>
      </c>
      <c r="B11" s="1"/>
      <c r="C11" s="1"/>
      <c r="D11" s="17" t="s">
        <v>20</v>
      </c>
      <c r="E11" s="1">
        <f>F11+H11+J11+L11+N11</f>
        <v>30993</v>
      </c>
      <c r="F11" s="1">
        <v>8254</v>
      </c>
      <c r="G11" s="1">
        <v>26.63</v>
      </c>
      <c r="H11" s="1">
        <v>13487</v>
      </c>
      <c r="I11" s="1">
        <v>43.52</v>
      </c>
      <c r="J11" s="1">
        <v>7318</v>
      </c>
      <c r="K11" s="1">
        <v>23.61</v>
      </c>
      <c r="L11" s="1">
        <v>1608</v>
      </c>
      <c r="M11" s="1">
        <v>5.19</v>
      </c>
      <c r="N11" s="1">
        <v>326</v>
      </c>
      <c r="O11" s="1">
        <v>1.05</v>
      </c>
    </row>
    <row r="12" spans="1:15" ht="11.45" customHeight="1" x14ac:dyDescent="0.2">
      <c r="A12" s="1">
        <v>26</v>
      </c>
      <c r="B12" s="1"/>
      <c r="C12" s="1"/>
      <c r="D12" s="17" t="s">
        <v>21</v>
      </c>
      <c r="E12" s="1">
        <f>F12+H12+J12+L12+N12</f>
        <v>32609</v>
      </c>
      <c r="F12" s="1">
        <v>9640</v>
      </c>
      <c r="G12" s="1">
        <v>29.56</v>
      </c>
      <c r="H12" s="1">
        <v>11245</v>
      </c>
      <c r="I12" s="1">
        <v>34.479999999999997</v>
      </c>
      <c r="J12" s="1">
        <v>5691</v>
      </c>
      <c r="K12" s="1">
        <v>17.45</v>
      </c>
      <c r="L12" s="1">
        <v>2105</v>
      </c>
      <c r="M12" s="1">
        <v>6.46</v>
      </c>
      <c r="N12" s="1">
        <v>3928</v>
      </c>
      <c r="O12" s="1">
        <v>12.04</v>
      </c>
    </row>
    <row r="13" spans="1:15" ht="11.45" customHeight="1" x14ac:dyDescent="0.2">
      <c r="A13" s="1"/>
      <c r="B13" s="1">
        <v>4</v>
      </c>
      <c r="C13" s="1" t="s">
        <v>7</v>
      </c>
      <c r="D13" s="17" t="s">
        <v>22</v>
      </c>
      <c r="E13" s="16">
        <f>E11+E12</f>
        <v>63602</v>
      </c>
      <c r="F13" s="16">
        <f>F11+F12</f>
        <v>17894</v>
      </c>
      <c r="G13" s="16">
        <f>F13*100/$E13</f>
        <v>28.134335398257917</v>
      </c>
      <c r="H13" s="16">
        <f>H11+H12</f>
        <v>24732</v>
      </c>
      <c r="I13" s="16">
        <f>H13*100/$E13</f>
        <v>38.885569636174964</v>
      </c>
      <c r="J13" s="16">
        <f>J11+J12</f>
        <v>13009</v>
      </c>
      <c r="K13" s="16">
        <f>J13*100/$E13</f>
        <v>20.453759315744787</v>
      </c>
      <c r="L13" s="16">
        <f>L11+L12</f>
        <v>3713</v>
      </c>
      <c r="M13" s="16">
        <f>L13*100/$E13</f>
        <v>5.837866733750511</v>
      </c>
      <c r="N13" s="16">
        <f>N11+N12</f>
        <v>4254</v>
      </c>
      <c r="O13" s="16">
        <f>N13*100/$E13</f>
        <v>6.6884689160718214</v>
      </c>
    </row>
    <row r="14" spans="1:15" ht="11.45" customHeight="1" x14ac:dyDescent="0.2">
      <c r="A14" s="1">
        <v>97</v>
      </c>
      <c r="B14" s="1"/>
      <c r="C14" s="1"/>
      <c r="D14" s="15" t="s">
        <v>23</v>
      </c>
      <c r="E14" s="1">
        <f>F14+H14+J14+L14+N14</f>
        <v>32013</v>
      </c>
      <c r="F14" s="1">
        <v>17636</v>
      </c>
      <c r="G14" s="1">
        <v>55.09</v>
      </c>
      <c r="H14" s="1">
        <v>10694</v>
      </c>
      <c r="I14" s="1">
        <v>33.409999999999997</v>
      </c>
      <c r="J14" s="1">
        <v>2225</v>
      </c>
      <c r="K14" s="1">
        <v>6.95</v>
      </c>
      <c r="L14" s="1">
        <v>1009</v>
      </c>
      <c r="M14" s="1">
        <v>3.15</v>
      </c>
      <c r="N14" s="1">
        <v>449</v>
      </c>
      <c r="O14" s="1">
        <v>1.4</v>
      </c>
    </row>
    <row r="15" spans="1:15" ht="11.45" customHeight="1" x14ac:dyDescent="0.2">
      <c r="A15" s="1">
        <v>55</v>
      </c>
      <c r="B15" s="1"/>
      <c r="C15" s="1"/>
      <c r="D15" s="17" t="s">
        <v>24</v>
      </c>
      <c r="E15" s="1">
        <f>F15+H15+J15+L15+N15</f>
        <v>29549</v>
      </c>
      <c r="F15" s="1">
        <v>8331</v>
      </c>
      <c r="G15" s="1">
        <v>28.19</v>
      </c>
      <c r="H15" s="1">
        <v>13159</v>
      </c>
      <c r="I15" s="1">
        <v>44.53</v>
      </c>
      <c r="J15" s="1">
        <v>5412</v>
      </c>
      <c r="K15" s="1">
        <v>18.32</v>
      </c>
      <c r="L15" s="1">
        <v>1872</v>
      </c>
      <c r="M15" s="1">
        <v>6.34</v>
      </c>
      <c r="N15" s="1">
        <v>775</v>
      </c>
      <c r="O15" s="1">
        <v>2.63</v>
      </c>
    </row>
    <row r="16" spans="1:15" ht="11.45" customHeight="1" x14ac:dyDescent="0.2">
      <c r="A16" s="1"/>
      <c r="B16" s="1">
        <v>5</v>
      </c>
      <c r="C16" s="1" t="s">
        <v>5</v>
      </c>
      <c r="D16" s="15" t="s">
        <v>25</v>
      </c>
      <c r="E16" s="16">
        <f>E14+E15</f>
        <v>61562</v>
      </c>
      <c r="F16" s="16">
        <f>F14+F15</f>
        <v>25967</v>
      </c>
      <c r="G16" s="16">
        <f>F16*100/$E16</f>
        <v>42.180241057795392</v>
      </c>
      <c r="H16" s="16">
        <f>H14+H15</f>
        <v>23853</v>
      </c>
      <c r="I16" s="16">
        <f>H16*100/$E16</f>
        <v>38.746304538514018</v>
      </c>
      <c r="J16" s="16">
        <f>J14+J15</f>
        <v>7637</v>
      </c>
      <c r="K16" s="16">
        <f>J16*100/$E16</f>
        <v>12.40537994217212</v>
      </c>
      <c r="L16" s="16">
        <f>L14+L15</f>
        <v>2881</v>
      </c>
      <c r="M16" s="16">
        <f>L16*100/$E16</f>
        <v>4.6798349631266039</v>
      </c>
      <c r="N16" s="16">
        <f>N14+N15</f>
        <v>1224</v>
      </c>
      <c r="O16" s="16">
        <f>N16*100/$E16</f>
        <v>1.9882394983918652</v>
      </c>
    </row>
    <row r="17" spans="1:15" ht="11.45" customHeight="1" x14ac:dyDescent="0.2">
      <c r="A17" s="1">
        <v>1</v>
      </c>
      <c r="B17" s="1"/>
      <c r="C17" s="1"/>
      <c r="D17" s="15" t="s">
        <v>26</v>
      </c>
      <c r="E17" s="1">
        <f>F17+H17+J17+L17+N17</f>
        <v>20626</v>
      </c>
      <c r="F17" s="1">
        <v>8476</v>
      </c>
      <c r="G17" s="1">
        <v>41.09</v>
      </c>
      <c r="H17" s="1">
        <v>6317</v>
      </c>
      <c r="I17" s="1">
        <v>30.63</v>
      </c>
      <c r="J17" s="1">
        <v>3927</v>
      </c>
      <c r="K17" s="1">
        <v>19.04</v>
      </c>
      <c r="L17" s="1">
        <v>1469</v>
      </c>
      <c r="M17" s="1">
        <v>7.12</v>
      </c>
      <c r="N17" s="1">
        <v>437</v>
      </c>
      <c r="O17" s="1">
        <v>2.12</v>
      </c>
    </row>
    <row r="18" spans="1:15" ht="11.45" customHeight="1" x14ac:dyDescent="0.2">
      <c r="A18" s="1">
        <v>64</v>
      </c>
      <c r="B18" s="1"/>
      <c r="C18" s="1"/>
      <c r="D18" s="15" t="s">
        <v>27</v>
      </c>
      <c r="E18" s="1">
        <f>F18+H18+J18+L18+N18</f>
        <v>23625</v>
      </c>
      <c r="F18" s="1">
        <v>12422</v>
      </c>
      <c r="G18" s="1">
        <v>52.58</v>
      </c>
      <c r="H18" s="1">
        <v>5491</v>
      </c>
      <c r="I18" s="1">
        <v>23.24</v>
      </c>
      <c r="J18" s="1">
        <v>4432</v>
      </c>
      <c r="K18" s="1">
        <v>18.760000000000002</v>
      </c>
      <c r="L18" s="1">
        <v>1104</v>
      </c>
      <c r="M18" s="1">
        <v>4.67</v>
      </c>
      <c r="N18" s="1">
        <v>176</v>
      </c>
      <c r="O18" s="1">
        <v>0.74</v>
      </c>
    </row>
    <row r="19" spans="1:15" ht="11.45" customHeight="1" x14ac:dyDescent="0.2">
      <c r="A19" s="1"/>
      <c r="B19" s="1">
        <v>6</v>
      </c>
      <c r="C19" s="5" t="s">
        <v>5</v>
      </c>
      <c r="D19" s="15" t="s">
        <v>213</v>
      </c>
      <c r="E19" s="16">
        <f>E17+E18</f>
        <v>44251</v>
      </c>
      <c r="F19" s="16">
        <f>F17+F18</f>
        <v>20898</v>
      </c>
      <c r="G19" s="16">
        <f>F19*100/$E19</f>
        <v>47.226051388669184</v>
      </c>
      <c r="H19" s="16">
        <f>H17+H18</f>
        <v>11808</v>
      </c>
      <c r="I19" s="16">
        <f>H19*100/$E19</f>
        <v>26.684142731237714</v>
      </c>
      <c r="J19" s="16">
        <f>J17+J18</f>
        <v>8359</v>
      </c>
      <c r="K19" s="16">
        <f>J19*100/$E19</f>
        <v>18.889968588280492</v>
      </c>
      <c r="L19" s="16">
        <f>L17+L18</f>
        <v>2573</v>
      </c>
      <c r="M19" s="16">
        <f>L19*100/$E19</f>
        <v>5.8145578630991386</v>
      </c>
      <c r="N19" s="16">
        <f>N17+N18</f>
        <v>613</v>
      </c>
      <c r="O19" s="16">
        <f>N19*100/$E19</f>
        <v>1.3852794287134753</v>
      </c>
    </row>
    <row r="21" spans="1:15" ht="11.45" customHeight="1" x14ac:dyDescent="0.2">
      <c r="A21" s="39" t="s">
        <v>210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11.45" customHeight="1" x14ac:dyDescent="0.2">
      <c r="A22" s="55" t="s">
        <v>231</v>
      </c>
      <c r="B22" s="39"/>
      <c r="C22" s="39"/>
      <c r="D22" s="39"/>
      <c r="E22" s="51">
        <v>10</v>
      </c>
      <c r="F22" s="51">
        <v>5</v>
      </c>
      <c r="G22" s="39"/>
      <c r="H22" s="38">
        <v>5</v>
      </c>
      <c r="I22" s="38"/>
      <c r="J22" s="38">
        <v>0</v>
      </c>
      <c r="K22" s="38"/>
      <c r="L22" s="38">
        <v>0</v>
      </c>
      <c r="M22" s="39"/>
      <c r="N22" s="39"/>
      <c r="O22" s="39"/>
    </row>
    <row r="23" spans="1:15" ht="11.45" customHeight="1" x14ac:dyDescent="0.2">
      <c r="A23" s="55" t="s">
        <v>232</v>
      </c>
      <c r="B23" s="39"/>
      <c r="C23" s="39"/>
      <c r="D23" s="39"/>
      <c r="E23" s="46">
        <f>E7+E10+E13+E16+E19</f>
        <v>249857</v>
      </c>
      <c r="F23" s="46">
        <f>F7+F10+F13+F16+F19</f>
        <v>93468</v>
      </c>
      <c r="G23" s="46">
        <f>F23*100/$E23</f>
        <v>37.408597717894637</v>
      </c>
      <c r="H23" s="46">
        <f>H7+H10+H13+H16+H19</f>
        <v>92643</v>
      </c>
      <c r="I23" s="46">
        <f>H23*100/$E23</f>
        <v>37.078408849862122</v>
      </c>
      <c r="J23" s="46">
        <f>J7+J10+J13+J16+J19</f>
        <v>41955</v>
      </c>
      <c r="K23" s="46">
        <f>J23*100/$E23</f>
        <v>16.791604797944423</v>
      </c>
      <c r="L23" s="46">
        <f>L7+L10+L13+L16+L19</f>
        <v>13927</v>
      </c>
      <c r="M23" s="46">
        <f>L23*100/$E23</f>
        <v>5.5739883213197947</v>
      </c>
      <c r="N23" s="46">
        <f>N7+N10+N13+N16+N19</f>
        <v>7864</v>
      </c>
      <c r="O23" s="46">
        <f>N23*100/$E23</f>
        <v>3.1474003129790238</v>
      </c>
    </row>
    <row r="24" spans="1:15" ht="11.45" customHeight="1" x14ac:dyDescent="0.2">
      <c r="A24" s="55"/>
      <c r="B24" s="39"/>
      <c r="C24" s="39"/>
      <c r="D24" s="3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11.45" customHeight="1" x14ac:dyDescent="0.2">
      <c r="A25" s="55" t="s">
        <v>241</v>
      </c>
      <c r="B25" s="39"/>
      <c r="C25" s="39"/>
      <c r="D25" s="3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1.45" customHeight="1" x14ac:dyDescent="0.2">
      <c r="A26" s="38" t="s">
        <v>233</v>
      </c>
      <c r="B26" s="39"/>
      <c r="C26" s="39"/>
      <c r="D26" s="39"/>
      <c r="E26" s="38">
        <f>F26+H26+J26+L26+N26</f>
        <v>5</v>
      </c>
      <c r="F26" s="38">
        <v>3</v>
      </c>
      <c r="G26" s="39"/>
      <c r="H26" s="38">
        <v>2</v>
      </c>
      <c r="I26" s="39"/>
      <c r="J26" s="38">
        <v>0</v>
      </c>
      <c r="K26" s="39"/>
      <c r="L26" s="38">
        <v>0</v>
      </c>
      <c r="M26" s="39"/>
      <c r="N26" s="39"/>
      <c r="O26" s="39"/>
    </row>
    <row r="27" spans="1:15" ht="11.45" customHeight="1" x14ac:dyDescent="0.2">
      <c r="A27" s="38" t="s">
        <v>234</v>
      </c>
      <c r="B27" s="39"/>
      <c r="C27" s="39"/>
      <c r="D27" s="39"/>
      <c r="E27" s="38">
        <f>F27+H27+J27+L27+N27</f>
        <v>2</v>
      </c>
      <c r="F27" s="38">
        <v>0</v>
      </c>
      <c r="G27" s="39"/>
      <c r="H27" s="38">
        <v>1</v>
      </c>
      <c r="I27" s="39"/>
      <c r="J27" s="38">
        <v>1</v>
      </c>
      <c r="K27" s="39"/>
      <c r="L27" s="38">
        <v>0</v>
      </c>
      <c r="M27" s="39"/>
      <c r="N27" s="39"/>
      <c r="O27" s="39"/>
    </row>
    <row r="28" spans="1:15" ht="11.45" customHeight="1" x14ac:dyDescent="0.2">
      <c r="A28" s="38" t="s">
        <v>259</v>
      </c>
      <c r="B28" s="39"/>
      <c r="C28" s="39"/>
      <c r="D28" s="39"/>
      <c r="E28" s="38"/>
      <c r="F28" s="38"/>
      <c r="G28" s="39"/>
      <c r="H28" s="38"/>
      <c r="I28" s="39"/>
      <c r="J28" s="38"/>
      <c r="K28" s="39"/>
      <c r="L28" s="39"/>
      <c r="M28" s="39"/>
      <c r="N28" s="39"/>
      <c r="O28" s="39"/>
    </row>
    <row r="29" spans="1:15" ht="11.45" customHeight="1" x14ac:dyDescent="0.2">
      <c r="A29" s="38" t="s">
        <v>237</v>
      </c>
      <c r="B29" s="38"/>
      <c r="C29" s="38"/>
      <c r="D29" s="38"/>
      <c r="E29" s="38"/>
      <c r="F29" s="38"/>
      <c r="G29" s="38">
        <v>30</v>
      </c>
      <c r="H29" s="38"/>
      <c r="I29" s="38">
        <v>30</v>
      </c>
      <c r="J29" s="38"/>
      <c r="K29" s="38">
        <v>10</v>
      </c>
      <c r="L29" s="38"/>
      <c r="M29" s="38"/>
      <c r="N29" s="38"/>
      <c r="O29" s="38"/>
    </row>
    <row r="30" spans="1:15" ht="11.45" customHeight="1" x14ac:dyDescent="0.2">
      <c r="A30" s="38" t="s">
        <v>255</v>
      </c>
      <c r="B30" s="39"/>
      <c r="C30" s="39"/>
      <c r="D30" s="39"/>
      <c r="E30" s="38"/>
      <c r="F30" s="38"/>
      <c r="G30" s="38">
        <f>G23-G29</f>
        <v>7.4085977178946365</v>
      </c>
      <c r="H30" s="38"/>
      <c r="I30" s="38">
        <f>I23-I29</f>
        <v>7.0784088498621216</v>
      </c>
      <c r="J30" s="38"/>
      <c r="K30" s="38">
        <f>K23-K29</f>
        <v>6.791604797944423</v>
      </c>
      <c r="L30" s="39"/>
      <c r="M30" s="38">
        <f>M23-M29</f>
        <v>5.5739883213197947</v>
      </c>
      <c r="N30" s="38"/>
      <c r="O30" s="38">
        <f>O23-O29</f>
        <v>3.1474003129790238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3</v>
      </c>
      <c r="F31" s="53">
        <v>1</v>
      </c>
      <c r="G31" s="53"/>
      <c r="H31" s="53">
        <v>1</v>
      </c>
      <c r="I31" s="53"/>
      <c r="J31" s="53">
        <v>1</v>
      </c>
      <c r="K31" s="52"/>
      <c r="L31" s="53">
        <v>0</v>
      </c>
      <c r="M31" s="52"/>
      <c r="N31" s="52"/>
      <c r="O31" s="52"/>
    </row>
    <row r="32" spans="1:15" ht="11.45" customHeight="1" x14ac:dyDescent="0.2">
      <c r="A32" s="38" t="s">
        <v>239</v>
      </c>
      <c r="B32" s="39"/>
      <c r="C32" s="39"/>
      <c r="D32" s="39"/>
      <c r="E32" s="54">
        <f>E26+E27+E31</f>
        <v>10</v>
      </c>
      <c r="F32" s="38">
        <v>4</v>
      </c>
      <c r="G32" s="38"/>
      <c r="H32" s="38">
        <v>4</v>
      </c>
      <c r="I32" s="38"/>
      <c r="J32" s="38">
        <v>2</v>
      </c>
      <c r="K32" s="38"/>
      <c r="L32" s="38">
        <f>L27+L31</f>
        <v>0</v>
      </c>
      <c r="M32" s="38"/>
      <c r="N32" s="38">
        <f>N27+N31</f>
        <v>0</v>
      </c>
      <c r="O32" s="38"/>
    </row>
    <row r="33" spans="1:15" ht="11.45" customHeight="1" x14ac:dyDescent="0.2">
      <c r="A33" s="38" t="s">
        <v>245</v>
      </c>
      <c r="B33" s="39"/>
      <c r="C33" s="39"/>
      <c r="D33" s="39"/>
      <c r="E33" s="56">
        <f>G33+I33+K33+M33+O33</f>
        <v>91.3</v>
      </c>
      <c r="F33" s="38"/>
      <c r="G33" s="38">
        <v>37.4</v>
      </c>
      <c r="H33" s="38"/>
      <c r="I33" s="38">
        <v>37.1</v>
      </c>
      <c r="J33" s="38"/>
      <c r="K33" s="38">
        <v>16.8</v>
      </c>
      <c r="L33" s="38"/>
      <c r="M33" s="38">
        <v>0</v>
      </c>
      <c r="N33" s="38"/>
      <c r="O33" s="38">
        <v>0</v>
      </c>
    </row>
    <row r="34" spans="1:15" ht="11.45" customHeight="1" x14ac:dyDescent="0.2">
      <c r="A34" s="38" t="s">
        <v>314</v>
      </c>
      <c r="E34" s="54">
        <f>F34+H34+J34+L34</f>
        <v>228119.44099999999</v>
      </c>
      <c r="F34" s="38">
        <f>G33*$E23/100</f>
        <v>93446.517999999982</v>
      </c>
      <c r="G34" s="38"/>
      <c r="H34" s="38">
        <f>I33*$E23/100</f>
        <v>92696.947000000015</v>
      </c>
      <c r="I34" s="38"/>
      <c r="J34" s="38">
        <f>K33*$E23/100</f>
        <v>41975.976000000002</v>
      </c>
      <c r="K34" s="38"/>
      <c r="L34" s="38">
        <f>M33*$E23/100</f>
        <v>0</v>
      </c>
      <c r="N34" s="38">
        <f>O33*$E23/100</f>
        <v>0</v>
      </c>
      <c r="O34" s="38"/>
    </row>
    <row r="35" spans="1:15" ht="11.45" customHeight="1" x14ac:dyDescent="0.2">
      <c r="A35" s="79" t="s">
        <v>313</v>
      </c>
      <c r="B35" s="80"/>
      <c r="C35" s="80"/>
      <c r="D35" s="80"/>
      <c r="E35" s="76">
        <v>0.91300000000000003</v>
      </c>
      <c r="F35" s="63"/>
      <c r="G35" s="68">
        <v>0.374</v>
      </c>
      <c r="H35" s="63"/>
      <c r="I35" s="68">
        <v>0.371</v>
      </c>
      <c r="J35" s="63"/>
      <c r="K35" s="68">
        <v>0.16800000000000001</v>
      </c>
      <c r="L35" s="63"/>
      <c r="M35" s="67" t="s">
        <v>254</v>
      </c>
      <c r="N35" s="63"/>
      <c r="O35" s="38"/>
    </row>
    <row r="36" spans="1:15" ht="11.45" customHeight="1" x14ac:dyDescent="0.2">
      <c r="A36" s="81" t="s">
        <v>312</v>
      </c>
      <c r="B36" s="82"/>
      <c r="C36" s="82"/>
      <c r="D36" s="82"/>
      <c r="E36" s="77">
        <v>0.44900000000000001</v>
      </c>
      <c r="F36" s="38"/>
      <c r="G36" s="78">
        <v>0.218</v>
      </c>
      <c r="H36" s="38"/>
      <c r="I36" s="78">
        <v>0.23100000000000001</v>
      </c>
      <c r="K36" s="78">
        <v>0</v>
      </c>
      <c r="L36" s="38"/>
      <c r="M36" s="62" t="s">
        <v>260</v>
      </c>
      <c r="N36" s="38"/>
      <c r="O36" s="57" t="s">
        <v>260</v>
      </c>
    </row>
    <row r="37" spans="1:15" ht="11.45" customHeight="1" x14ac:dyDescent="0.2">
      <c r="A37" s="38" t="s">
        <v>240</v>
      </c>
      <c r="B37" s="39"/>
      <c r="C37" s="39"/>
      <c r="D37" s="39"/>
    </row>
    <row r="38" spans="1:15" ht="11.45" customHeight="1" x14ac:dyDescent="0.2">
      <c r="A38" s="38" t="s">
        <v>252</v>
      </c>
      <c r="B38" s="39"/>
      <c r="C38" s="39"/>
      <c r="D38" s="39"/>
    </row>
    <row r="39" spans="1:15" ht="11.45" customHeight="1" x14ac:dyDescent="0.2">
      <c r="A39" s="61" t="s">
        <v>276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11.45" customHeight="1" x14ac:dyDescent="0.2">
      <c r="A40" s="38" t="s">
        <v>253</v>
      </c>
      <c r="E40" s="28">
        <f>F40+H40+J40+L40+N40</f>
        <v>112156</v>
      </c>
      <c r="F40" s="28">
        <f>F5+F6+F14+F17+F18</f>
        <v>54364</v>
      </c>
      <c r="G40" s="28">
        <f>F40*100/$E23</f>
        <v>21.758045602084394</v>
      </c>
      <c r="H40" s="28">
        <f>H8+H9+H11+H12+H15</f>
        <v>57792</v>
      </c>
      <c r="I40" s="28">
        <f>H40*100/$E23</f>
        <v>23.13003037737586</v>
      </c>
      <c r="J40" s="28">
        <v>0</v>
      </c>
      <c r="K40" s="28">
        <f>J40*100/$E23</f>
        <v>0</v>
      </c>
      <c r="L40" s="28">
        <v>0</v>
      </c>
      <c r="M40" s="28">
        <f>L40*100/$E23</f>
        <v>0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E41" s="95" t="s">
        <v>317</v>
      </c>
      <c r="F41" s="83"/>
      <c r="G41" s="95" t="s">
        <v>316</v>
      </c>
      <c r="H41" s="83"/>
      <c r="I41" s="95" t="s">
        <v>315</v>
      </c>
      <c r="J41" s="83"/>
      <c r="K41" s="95" t="s">
        <v>260</v>
      </c>
      <c r="L41" s="28"/>
      <c r="M41" s="95" t="s">
        <v>260</v>
      </c>
      <c r="N41" s="28"/>
      <c r="O41" s="95" t="s">
        <v>260</v>
      </c>
    </row>
  </sheetData>
  <sheetProtection selectLockedCells="1" selectUnlockedCells="1"/>
  <pageMargins left="0.78740157480314965" right="0.78740157480314965" top="1.0629921259842521" bottom="1.0629921259842521" header="0.78740157480314965" footer="0.78740157480314965"/>
  <pageSetup firstPageNumber="0" orientation="portrait" horizontalDpi="300" verticalDpi="300" r:id="rId1"/>
  <headerFooter alignWithMargins="0">
    <oddHeader>&amp;C&amp;"Times New Roman,Regular"&amp;12&amp;A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50" zoomScaleNormal="150" workbookViewId="0">
      <pane ySplit="4" topLeftCell="A15" activePane="bottomLeft" state="frozen"/>
      <selection pane="bottomLeft" activeCell="E34" sqref="E34"/>
    </sheetView>
  </sheetViews>
  <sheetFormatPr defaultColWidth="11.5703125" defaultRowHeight="11.45" customHeight="1" x14ac:dyDescent="0.2"/>
  <cols>
    <col min="1" max="1" width="5.5703125" customWidth="1"/>
    <col min="2" max="3" width="5.140625" customWidth="1"/>
    <col min="4" max="4" width="12.28515625" customWidth="1"/>
    <col min="5" max="5" width="6.28515625" customWidth="1"/>
    <col min="6" max="6" width="6" customWidth="1"/>
    <col min="7" max="8" width="5" customWidth="1"/>
    <col min="9" max="9" width="5.140625" customWidth="1"/>
    <col min="10" max="13" width="5" customWidth="1"/>
    <col min="14" max="14" width="4.7109375" customWidth="1"/>
    <col min="15" max="15" width="5.42578125" customWidth="1"/>
  </cols>
  <sheetData>
    <row r="1" spans="1:15" ht="12.75" customHeight="1" x14ac:dyDescent="0.2">
      <c r="A1" t="s">
        <v>331</v>
      </c>
    </row>
    <row r="2" spans="1:15" ht="12.75" customHeight="1" x14ac:dyDescent="0.2">
      <c r="A2" t="s">
        <v>214</v>
      </c>
    </row>
    <row r="3" spans="1:15" ht="12.75" customHeight="1" x14ac:dyDescent="0.2">
      <c r="E3" s="35" t="s">
        <v>205</v>
      </c>
    </row>
    <row r="4" spans="1:15" ht="12.75" customHeight="1" x14ac:dyDescent="0.2">
      <c r="A4" s="36" t="s">
        <v>206</v>
      </c>
      <c r="B4" s="36" t="s">
        <v>207</v>
      </c>
      <c r="C4" s="36" t="s">
        <v>208</v>
      </c>
      <c r="D4" s="37" t="s">
        <v>209</v>
      </c>
      <c r="E4" s="6" t="s">
        <v>4</v>
      </c>
      <c r="F4" s="7" t="s">
        <v>5</v>
      </c>
      <c r="G4" s="7" t="s">
        <v>6</v>
      </c>
      <c r="H4" s="8" t="s">
        <v>7</v>
      </c>
      <c r="I4" s="8" t="s">
        <v>6</v>
      </c>
      <c r="J4" s="9" t="s">
        <v>8</v>
      </c>
      <c r="K4" s="9" t="s">
        <v>6</v>
      </c>
      <c r="L4" s="10" t="s">
        <v>9</v>
      </c>
      <c r="M4" s="10" t="s">
        <v>6</v>
      </c>
      <c r="N4" s="6" t="s">
        <v>10</v>
      </c>
      <c r="O4" s="6" t="s">
        <v>6</v>
      </c>
    </row>
    <row r="5" spans="1:15" ht="11.45" customHeight="1" x14ac:dyDescent="0.2">
      <c r="A5" s="1">
        <v>2</v>
      </c>
      <c r="B5" s="1"/>
      <c r="C5" s="1"/>
      <c r="D5" s="17" t="s">
        <v>29</v>
      </c>
      <c r="E5" s="1">
        <f>F5+H5+J5+L5+N5</f>
        <v>21947</v>
      </c>
      <c r="F5" s="1">
        <v>7615</v>
      </c>
      <c r="G5" s="1">
        <v>34.700000000000003</v>
      </c>
      <c r="H5" s="1">
        <v>9267</v>
      </c>
      <c r="I5" s="1">
        <v>42.22</v>
      </c>
      <c r="J5" s="1">
        <v>3084</v>
      </c>
      <c r="K5" s="1">
        <v>14.05</v>
      </c>
      <c r="L5" s="1">
        <v>1354</v>
      </c>
      <c r="M5" s="1">
        <v>6.17</v>
      </c>
      <c r="N5" s="1">
        <v>627</v>
      </c>
      <c r="O5" s="1">
        <v>2.86</v>
      </c>
    </row>
    <row r="6" spans="1:15" ht="11.45" customHeight="1" x14ac:dyDescent="0.2">
      <c r="A6" s="1">
        <v>100</v>
      </c>
      <c r="B6" s="1"/>
      <c r="C6" s="1"/>
      <c r="D6" s="15" t="s">
        <v>30</v>
      </c>
      <c r="E6" s="1">
        <f>F6+H6+J6+L6+N6</f>
        <v>28015</v>
      </c>
      <c r="F6" s="1">
        <v>10644</v>
      </c>
      <c r="G6" s="1">
        <v>37.99</v>
      </c>
      <c r="H6" s="1">
        <v>9034</v>
      </c>
      <c r="I6" s="1">
        <v>32.25</v>
      </c>
      <c r="J6" s="1">
        <v>4839</v>
      </c>
      <c r="K6" s="1">
        <v>17.27</v>
      </c>
      <c r="L6" s="1">
        <v>3229</v>
      </c>
      <c r="M6" s="1">
        <v>11.53</v>
      </c>
      <c r="N6" s="1">
        <v>269</v>
      </c>
      <c r="O6" s="1">
        <v>0.96</v>
      </c>
    </row>
    <row r="7" spans="1:15" ht="11.45" customHeight="1" x14ac:dyDescent="0.2">
      <c r="A7" s="1"/>
      <c r="B7" s="1">
        <v>7</v>
      </c>
      <c r="C7" s="5" t="s">
        <v>7</v>
      </c>
      <c r="D7" s="17" t="s">
        <v>31</v>
      </c>
      <c r="E7" s="16">
        <f>E5+E6</f>
        <v>49962</v>
      </c>
      <c r="F7" s="16">
        <f>F5+F6</f>
        <v>18259</v>
      </c>
      <c r="G7" s="16">
        <f>F7*100/$E7</f>
        <v>36.545774788839516</v>
      </c>
      <c r="H7" s="16">
        <f>H5+H6</f>
        <v>18301</v>
      </c>
      <c r="I7" s="16">
        <f>H7*100/$E7</f>
        <v>36.629838677394822</v>
      </c>
      <c r="J7" s="16">
        <f>J5+J6</f>
        <v>7923</v>
      </c>
      <c r="K7" s="16">
        <f>J7*100/$E7</f>
        <v>15.858052119610905</v>
      </c>
      <c r="L7" s="16">
        <f>L5+L6</f>
        <v>4583</v>
      </c>
      <c r="M7" s="16">
        <f>L7*100/$E7</f>
        <v>9.1729714583083144</v>
      </c>
      <c r="N7" s="16">
        <f>N5+N6</f>
        <v>896</v>
      </c>
      <c r="O7" s="16">
        <f>N7*100/$E7</f>
        <v>1.7933629558464432</v>
      </c>
    </row>
    <row r="8" spans="1:15" ht="11.45" customHeight="1" x14ac:dyDescent="0.2">
      <c r="A8" s="1">
        <v>88</v>
      </c>
      <c r="B8" s="1"/>
      <c r="C8" s="1"/>
      <c r="D8" s="15" t="s">
        <v>32</v>
      </c>
      <c r="E8" s="1">
        <f>F8+H8+J8+L8+N8</f>
        <v>33860</v>
      </c>
      <c r="F8" s="1">
        <v>25649</v>
      </c>
      <c r="G8" s="1">
        <v>75.75</v>
      </c>
      <c r="H8" s="1">
        <v>2897</v>
      </c>
      <c r="I8" s="1">
        <v>8.56</v>
      </c>
      <c r="J8" s="1">
        <v>3026</v>
      </c>
      <c r="K8" s="1">
        <v>8.94</v>
      </c>
      <c r="L8" s="1">
        <v>2157</v>
      </c>
      <c r="M8" s="1">
        <v>6.37</v>
      </c>
      <c r="N8" s="1">
        <v>131</v>
      </c>
      <c r="O8" s="1">
        <v>0.39</v>
      </c>
    </row>
    <row r="9" spans="1:15" ht="11.45" customHeight="1" x14ac:dyDescent="0.2">
      <c r="A9" s="1">
        <v>38</v>
      </c>
      <c r="B9" s="1"/>
      <c r="C9" s="1"/>
      <c r="D9" s="15" t="s">
        <v>33</v>
      </c>
      <c r="E9" s="1">
        <f>F9+H9+J9+L9+N9</f>
        <v>37079</v>
      </c>
      <c r="F9" s="1">
        <v>22852</v>
      </c>
      <c r="G9" s="1">
        <v>61.63</v>
      </c>
      <c r="H9" s="1">
        <v>6497</v>
      </c>
      <c r="I9" s="1">
        <v>17.52</v>
      </c>
      <c r="J9" s="1">
        <v>5178</v>
      </c>
      <c r="K9" s="1">
        <v>13.96</v>
      </c>
      <c r="L9" s="1">
        <v>2247</v>
      </c>
      <c r="M9" s="1">
        <v>6.06</v>
      </c>
      <c r="N9" s="1">
        <v>305</v>
      </c>
      <c r="O9" s="1">
        <v>0.82</v>
      </c>
    </row>
    <row r="10" spans="1:15" ht="11.45" customHeight="1" x14ac:dyDescent="0.2">
      <c r="A10" s="1"/>
      <c r="B10" s="1">
        <v>8</v>
      </c>
      <c r="C10" s="5" t="s">
        <v>5</v>
      </c>
      <c r="D10" s="15" t="s">
        <v>34</v>
      </c>
      <c r="E10" s="16">
        <f>E8+E9</f>
        <v>70939</v>
      </c>
      <c r="F10" s="16">
        <f>F8+F9</f>
        <v>48501</v>
      </c>
      <c r="G10" s="16">
        <f>F10*100/$E10</f>
        <v>68.370008035072388</v>
      </c>
      <c r="H10" s="16">
        <f>H8+H9</f>
        <v>9394</v>
      </c>
      <c r="I10" s="16">
        <f>H10*100/$E10</f>
        <v>13.242363157078616</v>
      </c>
      <c r="J10" s="16">
        <f>J8+J9</f>
        <v>8204</v>
      </c>
      <c r="K10" s="16">
        <f>J10*100/$E10</f>
        <v>11.56486558874526</v>
      </c>
      <c r="L10" s="16">
        <f>L8+L9</f>
        <v>4404</v>
      </c>
      <c r="M10" s="16">
        <f>L10*100/$E10</f>
        <v>6.2081506646555491</v>
      </c>
      <c r="N10" s="16">
        <f>N8+N9</f>
        <v>436</v>
      </c>
      <c r="O10" s="16">
        <f>N10*100/$E10</f>
        <v>0.61461255444818785</v>
      </c>
    </row>
    <row r="11" spans="1:15" ht="11.45" customHeight="1" x14ac:dyDescent="0.2">
      <c r="A11" s="1">
        <v>43</v>
      </c>
      <c r="B11" s="1"/>
      <c r="C11" s="1"/>
      <c r="D11" s="15" t="s">
        <v>35</v>
      </c>
      <c r="E11" s="1">
        <f>F11+H11+J11+L11+N11</f>
        <v>32973</v>
      </c>
      <c r="F11" s="1">
        <v>18163</v>
      </c>
      <c r="G11" s="1">
        <v>55.08</v>
      </c>
      <c r="H11" s="1">
        <v>7209</v>
      </c>
      <c r="I11" s="1">
        <v>21.86</v>
      </c>
      <c r="J11" s="1">
        <v>3619</v>
      </c>
      <c r="K11" s="1">
        <v>10.98</v>
      </c>
      <c r="L11" s="1">
        <v>3647</v>
      </c>
      <c r="M11" s="1">
        <v>11.06</v>
      </c>
      <c r="N11" s="1">
        <v>335</v>
      </c>
      <c r="O11" s="1">
        <v>1.01</v>
      </c>
    </row>
    <row r="12" spans="1:15" ht="11.45" customHeight="1" x14ac:dyDescent="0.2">
      <c r="A12" s="1">
        <v>21</v>
      </c>
      <c r="B12" s="1"/>
      <c r="C12" s="1"/>
      <c r="D12" s="15" t="s">
        <v>36</v>
      </c>
      <c r="E12" s="1">
        <f>F12+H12+J12+L12+N12</f>
        <v>34049</v>
      </c>
      <c r="F12" s="1">
        <v>19697</v>
      </c>
      <c r="G12" s="1">
        <v>57.85</v>
      </c>
      <c r="H12" s="1">
        <v>6294</v>
      </c>
      <c r="I12" s="1">
        <v>18.489999999999998</v>
      </c>
      <c r="J12" s="1">
        <v>5022</v>
      </c>
      <c r="K12" s="1">
        <v>14.75</v>
      </c>
      <c r="L12" s="1">
        <v>1986</v>
      </c>
      <c r="M12" s="1">
        <v>5.83</v>
      </c>
      <c r="N12" s="1">
        <v>1050</v>
      </c>
      <c r="O12" s="1">
        <v>3.09</v>
      </c>
    </row>
    <row r="13" spans="1:15" ht="11.45" customHeight="1" x14ac:dyDescent="0.2">
      <c r="A13" s="5"/>
      <c r="B13" s="5">
        <v>9</v>
      </c>
      <c r="C13" s="5" t="s">
        <v>5</v>
      </c>
      <c r="D13" s="18" t="s">
        <v>37</v>
      </c>
      <c r="E13" s="12">
        <f>E11+E12</f>
        <v>67022</v>
      </c>
      <c r="F13" s="12">
        <f>F11+F12</f>
        <v>37860</v>
      </c>
      <c r="G13" s="12">
        <f>F13*100/$E13</f>
        <v>56.488914087911432</v>
      </c>
      <c r="H13" s="12">
        <f>H11+H12</f>
        <v>13503</v>
      </c>
      <c r="I13" s="12">
        <f>H13*100/$E13</f>
        <v>20.147115872400107</v>
      </c>
      <c r="J13" s="12">
        <f>J11+J12</f>
        <v>8641</v>
      </c>
      <c r="K13" s="12">
        <f>J13*100/$E13</f>
        <v>12.892781474739637</v>
      </c>
      <c r="L13" s="12">
        <f>L11+L12</f>
        <v>5633</v>
      </c>
      <c r="M13" s="12">
        <f>L13*100/$E13</f>
        <v>8.4047029333651633</v>
      </c>
      <c r="N13" s="12">
        <f>N11+N12</f>
        <v>1385</v>
      </c>
      <c r="O13" s="12">
        <f>N13*100/$E13</f>
        <v>2.0664856315836593</v>
      </c>
    </row>
    <row r="21" spans="1:15" ht="11.45" customHeight="1" x14ac:dyDescent="0.2">
      <c r="A21" t="s">
        <v>210</v>
      </c>
    </row>
    <row r="22" spans="1:15" ht="11.45" customHeight="1" x14ac:dyDescent="0.2">
      <c r="A22" s="55" t="s">
        <v>231</v>
      </c>
      <c r="B22" s="39"/>
      <c r="C22" s="39"/>
      <c r="D22" s="39"/>
      <c r="E22" s="51">
        <v>6</v>
      </c>
      <c r="F22" s="51">
        <v>5</v>
      </c>
      <c r="G22" s="39"/>
      <c r="H22" s="38">
        <v>1</v>
      </c>
      <c r="I22" s="38"/>
      <c r="J22" s="38">
        <v>0</v>
      </c>
      <c r="K22" s="38"/>
      <c r="L22" s="38">
        <v>0</v>
      </c>
      <c r="M22" s="39"/>
      <c r="N22" s="39"/>
      <c r="O22" s="39"/>
    </row>
    <row r="23" spans="1:15" ht="11.45" customHeight="1" x14ac:dyDescent="0.2">
      <c r="A23" s="55" t="s">
        <v>232</v>
      </c>
      <c r="B23" s="39"/>
      <c r="C23" s="39"/>
      <c r="D23" s="39"/>
      <c r="E23" s="46">
        <f>E7+E10+E13+E16+E19</f>
        <v>187923</v>
      </c>
      <c r="F23" s="46">
        <f>F7+F10+F13+F16+F19</f>
        <v>104620</v>
      </c>
      <c r="G23" s="46">
        <f>F23*100/$E23</f>
        <v>55.671737892647521</v>
      </c>
      <c r="H23" s="46">
        <f>H7+H10+H13+H16+H19</f>
        <v>41198</v>
      </c>
      <c r="I23" s="46">
        <f>H23*100/$E23</f>
        <v>21.922808809991327</v>
      </c>
      <c r="J23" s="46">
        <f>J7+J10+J13+J16+J19</f>
        <v>24768</v>
      </c>
      <c r="K23" s="46">
        <f>J23*100/$E23</f>
        <v>13.179866221803611</v>
      </c>
      <c r="L23" s="46">
        <f>L7+L10+L13+L16+L19</f>
        <v>14620</v>
      </c>
      <c r="M23" s="46">
        <f>L23*100/$E23</f>
        <v>7.7797821448146314</v>
      </c>
      <c r="N23" s="46">
        <f>N7+N10+N13+N16+N19</f>
        <v>2717</v>
      </c>
      <c r="O23" s="46">
        <f>N23*100/$E23</f>
        <v>1.4458049307429106</v>
      </c>
    </row>
    <row r="24" spans="1:15" s="28" customFormat="1" ht="11.45" customHeight="1" x14ac:dyDescent="0.2">
      <c r="A24" s="55"/>
      <c r="B24" s="39"/>
      <c r="C24" s="39"/>
      <c r="D24" s="3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11.45" customHeight="1" x14ac:dyDescent="0.2">
      <c r="A25" s="55" t="s">
        <v>241</v>
      </c>
      <c r="B25" s="39"/>
      <c r="C25" s="39"/>
      <c r="D25" s="3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1.45" customHeight="1" x14ac:dyDescent="0.2">
      <c r="A26" s="38" t="s">
        <v>233</v>
      </c>
      <c r="B26" s="39"/>
      <c r="C26" s="39"/>
      <c r="D26" s="39"/>
      <c r="E26" s="38">
        <f>F26+H26+J26+L26+N26</f>
        <v>3</v>
      </c>
      <c r="F26" s="38">
        <v>2</v>
      </c>
      <c r="G26" s="39"/>
      <c r="H26" s="38">
        <v>1</v>
      </c>
      <c r="I26" s="39"/>
      <c r="J26" s="38">
        <v>0</v>
      </c>
      <c r="K26" s="39"/>
      <c r="L26" s="38">
        <v>0</v>
      </c>
      <c r="M26" s="39"/>
      <c r="N26" s="38">
        <v>0</v>
      </c>
      <c r="O26" s="39"/>
    </row>
    <row r="27" spans="1:15" ht="11.45" customHeight="1" x14ac:dyDescent="0.2">
      <c r="A27" s="38" t="s">
        <v>234</v>
      </c>
      <c r="B27" s="39"/>
      <c r="C27" s="39"/>
      <c r="D27" s="39"/>
      <c r="E27" s="38">
        <f>F27+H27+J27+L27+N27</f>
        <v>0</v>
      </c>
      <c r="F27" s="38">
        <v>0</v>
      </c>
      <c r="G27" s="39"/>
      <c r="H27" s="38">
        <v>0</v>
      </c>
      <c r="I27" s="39"/>
      <c r="J27" s="38">
        <v>0</v>
      </c>
      <c r="K27" s="39"/>
      <c r="L27" s="38">
        <v>0</v>
      </c>
      <c r="M27" s="39"/>
      <c r="N27" s="38">
        <v>0</v>
      </c>
      <c r="O27" s="39"/>
    </row>
    <row r="28" spans="1:15" ht="11.45" customHeight="1" x14ac:dyDescent="0.2">
      <c r="A28" s="38" t="s">
        <v>244</v>
      </c>
      <c r="B28" s="39"/>
      <c r="C28" s="39"/>
      <c r="D28" s="39"/>
      <c r="E28" s="38"/>
      <c r="F28" s="38"/>
      <c r="G28" s="39"/>
      <c r="H28" s="38"/>
      <c r="I28" s="39"/>
      <c r="J28" s="38"/>
      <c r="K28" s="39"/>
      <c r="L28" s="39"/>
      <c r="M28" s="39"/>
      <c r="N28" s="39"/>
      <c r="O28" s="39"/>
    </row>
    <row r="29" spans="1:15" ht="11.45" customHeight="1" x14ac:dyDescent="0.2">
      <c r="A29" s="38" t="s">
        <v>237</v>
      </c>
      <c r="B29" s="38"/>
      <c r="C29" s="38"/>
      <c r="D29" s="38"/>
      <c r="E29" s="38"/>
      <c r="F29" s="38"/>
      <c r="G29" s="38">
        <v>33.340000000000003</v>
      </c>
      <c r="H29" s="38"/>
      <c r="I29" s="38">
        <v>16.670000000000002</v>
      </c>
      <c r="J29" s="38"/>
      <c r="K29" s="38">
        <v>0</v>
      </c>
      <c r="L29" s="38"/>
      <c r="M29" s="38"/>
      <c r="N29" s="38"/>
      <c r="O29" s="38"/>
    </row>
    <row r="30" spans="1:15" ht="11.45" customHeight="1" x14ac:dyDescent="0.2">
      <c r="A30" s="38" t="s">
        <v>255</v>
      </c>
      <c r="B30" s="39"/>
      <c r="C30" s="39"/>
      <c r="D30" s="39"/>
      <c r="E30" s="38"/>
      <c r="F30" s="38"/>
      <c r="G30" s="38">
        <f>G23-G29</f>
        <v>22.331737892647517</v>
      </c>
      <c r="H30" s="38"/>
      <c r="I30" s="38">
        <f>I23-I29</f>
        <v>5.2528088099913255</v>
      </c>
      <c r="J30" s="38"/>
      <c r="K30" s="38">
        <f>K23-K29</f>
        <v>13.179866221803611</v>
      </c>
      <c r="L30" s="39"/>
      <c r="M30" s="38">
        <f>M23-M29</f>
        <v>7.7797821448146314</v>
      </c>
      <c r="N30" s="38"/>
      <c r="O30" s="38">
        <f>O23-O29</f>
        <v>1.4458049307429106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3</v>
      </c>
      <c r="F31" s="53">
        <v>1</v>
      </c>
      <c r="G31" s="53"/>
      <c r="H31" s="53">
        <v>0</v>
      </c>
      <c r="I31" s="53"/>
      <c r="J31" s="53">
        <v>1</v>
      </c>
      <c r="K31" s="52"/>
      <c r="L31" s="53">
        <v>1</v>
      </c>
      <c r="M31" s="52"/>
      <c r="N31" s="52"/>
      <c r="O31" s="52"/>
    </row>
    <row r="32" spans="1:15" ht="11.45" customHeight="1" x14ac:dyDescent="0.2">
      <c r="A32" s="38" t="s">
        <v>239</v>
      </c>
      <c r="B32" s="39"/>
      <c r="C32" s="39"/>
      <c r="D32" s="39"/>
      <c r="E32" s="54">
        <f>E26+E27+E31</f>
        <v>6</v>
      </c>
      <c r="F32" s="38">
        <v>3</v>
      </c>
      <c r="G32" s="38"/>
      <c r="H32" s="38">
        <v>1</v>
      </c>
      <c r="I32" s="38"/>
      <c r="J32" s="38">
        <v>1</v>
      </c>
      <c r="K32" s="38"/>
      <c r="L32" s="38">
        <f>L27+L31</f>
        <v>1</v>
      </c>
      <c r="M32" s="38"/>
      <c r="N32" s="38">
        <f>N27+N31</f>
        <v>0</v>
      </c>
      <c r="O32" s="38"/>
    </row>
    <row r="33" spans="1:15" ht="11.45" customHeight="1" x14ac:dyDescent="0.2">
      <c r="A33" s="38" t="s">
        <v>245</v>
      </c>
      <c r="B33" s="39"/>
      <c r="C33" s="39"/>
      <c r="D33" s="39"/>
      <c r="E33" s="56">
        <f>G33+I33+K33+M33+O33</f>
        <v>87.88000000000001</v>
      </c>
      <c r="F33" s="38"/>
      <c r="G33" s="56">
        <v>50.01</v>
      </c>
      <c r="H33" s="38"/>
      <c r="I33" s="56">
        <v>16.670000000000002</v>
      </c>
      <c r="J33" s="38"/>
      <c r="K33" s="38">
        <v>13.33</v>
      </c>
      <c r="L33" s="38"/>
      <c r="M33" s="38">
        <v>7.87</v>
      </c>
      <c r="N33" s="38"/>
      <c r="O33" s="38">
        <v>0</v>
      </c>
    </row>
    <row r="34" spans="1:15" ht="11.45" customHeight="1" x14ac:dyDescent="0.2">
      <c r="A34" s="38" t="s">
        <v>314</v>
      </c>
      <c r="E34" s="54">
        <f>F34+H34+J34+L34</f>
        <v>165146.73240000001</v>
      </c>
      <c r="F34" s="38">
        <f>G33*$E23/100</f>
        <v>93980.292300000001</v>
      </c>
      <c r="G34" s="38"/>
      <c r="H34" s="38">
        <f>I33*$E23/100</f>
        <v>31326.7641</v>
      </c>
      <c r="I34" s="38"/>
      <c r="J34" s="38">
        <f>K33*$E23/100</f>
        <v>25050.135899999997</v>
      </c>
      <c r="K34" s="38"/>
      <c r="L34" s="38">
        <f>M33*$E23/100</f>
        <v>14789.5401</v>
      </c>
      <c r="N34" s="38">
        <f>O33*$E23/100</f>
        <v>0</v>
      </c>
      <c r="O34" s="38"/>
    </row>
    <row r="35" spans="1:15" ht="11.45" customHeight="1" x14ac:dyDescent="0.2">
      <c r="A35" s="79" t="s">
        <v>313</v>
      </c>
      <c r="B35" s="80"/>
      <c r="C35" s="80"/>
      <c r="D35" s="80"/>
      <c r="E35" s="68">
        <v>0.87880000000000003</v>
      </c>
      <c r="F35" s="63"/>
      <c r="G35" s="68">
        <v>0.50009999999999999</v>
      </c>
      <c r="H35" s="63"/>
      <c r="I35" s="68">
        <v>0.16669999999999999</v>
      </c>
      <c r="J35" s="63"/>
      <c r="K35" s="68">
        <v>0.1333</v>
      </c>
      <c r="L35" s="63"/>
      <c r="M35" s="68">
        <v>7.8700000000000006E-2</v>
      </c>
      <c r="N35" s="63"/>
      <c r="O35" s="63"/>
    </row>
    <row r="36" spans="1:15" ht="11.45" customHeight="1" x14ac:dyDescent="0.2">
      <c r="A36" s="81" t="s">
        <v>312</v>
      </c>
      <c r="B36" s="82"/>
      <c r="C36" s="82"/>
      <c r="D36" s="82"/>
      <c r="E36" s="95" t="s">
        <v>319</v>
      </c>
      <c r="F36" s="83"/>
      <c r="G36" s="95" t="s">
        <v>318</v>
      </c>
      <c r="H36" s="83"/>
      <c r="I36" s="95" t="s">
        <v>298</v>
      </c>
      <c r="J36" s="83"/>
      <c r="K36" s="95" t="s">
        <v>260</v>
      </c>
      <c r="L36" s="28"/>
      <c r="M36" s="95" t="s">
        <v>260</v>
      </c>
      <c r="N36" s="28"/>
      <c r="O36" s="95" t="s">
        <v>260</v>
      </c>
    </row>
    <row r="37" spans="1:15" ht="11.45" customHeight="1" x14ac:dyDescent="0.2">
      <c r="A37" s="38" t="s">
        <v>240</v>
      </c>
      <c r="B37" s="39"/>
      <c r="C37" s="39"/>
      <c r="D37" s="39"/>
    </row>
    <row r="38" spans="1:15" ht="11.45" customHeight="1" x14ac:dyDescent="0.2">
      <c r="A38" s="38" t="s">
        <v>252</v>
      </c>
      <c r="B38" s="39"/>
      <c r="C38" s="39"/>
      <c r="D38" s="39"/>
    </row>
    <row r="39" spans="1:15" ht="11.45" customHeight="1" x14ac:dyDescent="0.2">
      <c r="A39" s="61" t="s">
        <v>276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11.45" customHeight="1" x14ac:dyDescent="0.2">
      <c r="A40" s="38" t="s">
        <v>253</v>
      </c>
      <c r="E40" s="28">
        <f>F40+H40+J40+L40+N40</f>
        <v>106272</v>
      </c>
      <c r="F40" s="28">
        <f>F23-F5</f>
        <v>97005</v>
      </c>
      <c r="G40" s="28">
        <f>F40*100/$E23</f>
        <v>51.619546303539217</v>
      </c>
      <c r="H40" s="28">
        <f>H5</f>
        <v>9267</v>
      </c>
      <c r="I40" s="28">
        <f>H40*100/$E23</f>
        <v>4.9312750435018602</v>
      </c>
      <c r="J40" s="28">
        <v>0</v>
      </c>
      <c r="K40" s="28">
        <f>J40*100/$E23</f>
        <v>0</v>
      </c>
      <c r="L40" s="28">
        <v>0</v>
      </c>
      <c r="M40" s="28">
        <f>L40*100/$E23</f>
        <v>0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E41" s="95" t="s">
        <v>319</v>
      </c>
      <c r="F41" s="83"/>
      <c r="G41" s="95" t="s">
        <v>318</v>
      </c>
      <c r="H41" s="83"/>
      <c r="I41" s="95" t="s">
        <v>298</v>
      </c>
      <c r="J41" s="83"/>
      <c r="K41" s="95" t="s">
        <v>260</v>
      </c>
      <c r="L41" s="28"/>
      <c r="M41" s="95" t="s">
        <v>260</v>
      </c>
      <c r="N41" s="28"/>
      <c r="O41" s="95" t="s">
        <v>260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="150" zoomScaleNormal="150" workbookViewId="0">
      <pane ySplit="4" topLeftCell="A25" activePane="bottomLeft" state="frozen"/>
      <selection pane="bottomLeft" activeCell="H2" sqref="H2"/>
    </sheetView>
  </sheetViews>
  <sheetFormatPr defaultColWidth="11.5703125" defaultRowHeight="11.45" customHeight="1" x14ac:dyDescent="0.2"/>
  <cols>
    <col min="1" max="1" width="4" customWidth="1"/>
    <col min="2" max="2" width="3.85546875" customWidth="1"/>
    <col min="3" max="3" width="4.140625" customWidth="1"/>
    <col min="4" max="4" width="16.5703125" customWidth="1"/>
    <col min="5" max="7" width="6" style="83" customWidth="1"/>
    <col min="8" max="8" width="5" style="83" customWidth="1"/>
    <col min="9" max="9" width="5.7109375" style="83" customWidth="1"/>
    <col min="10" max="15" width="5" style="83" customWidth="1"/>
  </cols>
  <sheetData>
    <row r="1" spans="1:15" ht="12.75" customHeight="1" x14ac:dyDescent="0.2">
      <c r="A1" t="s">
        <v>331</v>
      </c>
    </row>
    <row r="2" spans="1:15" ht="12.75" customHeight="1" x14ac:dyDescent="0.2">
      <c r="A2" t="s">
        <v>215</v>
      </c>
    </row>
    <row r="3" spans="1:15" ht="12.75" customHeight="1" x14ac:dyDescent="0.2">
      <c r="E3" s="28" t="s">
        <v>205</v>
      </c>
    </row>
    <row r="4" spans="1:15" ht="12.75" customHeight="1" x14ac:dyDescent="0.2">
      <c r="A4" s="36" t="s">
        <v>206</v>
      </c>
      <c r="B4" s="36" t="s">
        <v>207</v>
      </c>
      <c r="C4" s="36" t="s">
        <v>208</v>
      </c>
      <c r="D4" s="37" t="s">
        <v>209</v>
      </c>
      <c r="E4" s="6" t="s">
        <v>4</v>
      </c>
      <c r="F4" s="7" t="s">
        <v>5</v>
      </c>
      <c r="G4" s="7" t="s">
        <v>6</v>
      </c>
      <c r="H4" s="8" t="s">
        <v>7</v>
      </c>
      <c r="I4" s="8" t="s">
        <v>6</v>
      </c>
      <c r="J4" s="9" t="s">
        <v>8</v>
      </c>
      <c r="K4" s="9" t="s">
        <v>6</v>
      </c>
      <c r="L4" s="10" t="s">
        <v>9</v>
      </c>
      <c r="M4" s="10" t="s">
        <v>6</v>
      </c>
      <c r="N4" s="6" t="s">
        <v>10</v>
      </c>
      <c r="O4" s="6" t="s">
        <v>6</v>
      </c>
    </row>
    <row r="5" spans="1:15" ht="11.45" customHeight="1" x14ac:dyDescent="0.2">
      <c r="A5" s="1">
        <v>86</v>
      </c>
      <c r="B5" s="1"/>
      <c r="C5" s="1"/>
      <c r="D5" s="15" t="s">
        <v>38</v>
      </c>
      <c r="E5" s="1">
        <f>F5+H5+J5+L5+N5</f>
        <v>35562</v>
      </c>
      <c r="F5" s="1">
        <v>17934</v>
      </c>
      <c r="G5" s="1">
        <v>50.43</v>
      </c>
      <c r="H5" s="1">
        <v>8763</v>
      </c>
      <c r="I5" s="1">
        <v>24.64</v>
      </c>
      <c r="J5" s="1">
        <v>5769</v>
      </c>
      <c r="K5" s="1">
        <v>16.22</v>
      </c>
      <c r="L5" s="1">
        <v>2313</v>
      </c>
      <c r="M5" s="1">
        <v>6.5</v>
      </c>
      <c r="N5" s="1">
        <v>783</v>
      </c>
      <c r="O5" s="1">
        <v>2.2000000000000002</v>
      </c>
    </row>
    <row r="6" spans="1:15" ht="11.45" customHeight="1" x14ac:dyDescent="0.2">
      <c r="A6" s="1">
        <v>5</v>
      </c>
      <c r="B6" s="1"/>
      <c r="C6" s="1"/>
      <c r="D6" s="15" t="s">
        <v>39</v>
      </c>
      <c r="E6" s="1">
        <f>F6+H6+J6+L6+N6</f>
        <v>30527</v>
      </c>
      <c r="F6" s="1">
        <v>11676</v>
      </c>
      <c r="G6" s="1">
        <v>38.25</v>
      </c>
      <c r="H6" s="1">
        <v>9711</v>
      </c>
      <c r="I6" s="1">
        <v>31.81</v>
      </c>
      <c r="J6" s="1">
        <v>7212</v>
      </c>
      <c r="K6" s="1">
        <v>23.62</v>
      </c>
      <c r="L6" s="1">
        <v>1395</v>
      </c>
      <c r="M6" s="1">
        <v>4.57</v>
      </c>
      <c r="N6" s="1">
        <v>533</v>
      </c>
      <c r="O6" s="1">
        <v>1.75</v>
      </c>
    </row>
    <row r="7" spans="1:15" ht="11.45" customHeight="1" x14ac:dyDescent="0.2">
      <c r="A7" s="1"/>
      <c r="B7" s="1">
        <v>10</v>
      </c>
      <c r="C7" s="5" t="s">
        <v>5</v>
      </c>
      <c r="D7" s="15" t="s">
        <v>40</v>
      </c>
      <c r="E7" s="16">
        <f>E5+E6</f>
        <v>66089</v>
      </c>
      <c r="F7" s="16">
        <f>F5+F6</f>
        <v>29610</v>
      </c>
      <c r="G7" s="16">
        <f t="shared" ref="G7:G12" si="0">F7*100/$E7</f>
        <v>44.803219900437291</v>
      </c>
      <c r="H7" s="16">
        <f>H5+H6</f>
        <v>18474</v>
      </c>
      <c r="I7" s="16">
        <f t="shared" ref="I7:I13" si="1">H7*100/$E7</f>
        <v>27.95321460454841</v>
      </c>
      <c r="J7" s="16">
        <f>J5+J6</f>
        <v>12981</v>
      </c>
      <c r="K7" s="16">
        <f t="shared" ref="K7:K13" si="2">J7*100/$E7</f>
        <v>19.641695289685121</v>
      </c>
      <c r="L7" s="16">
        <f>L5+L6</f>
        <v>3708</v>
      </c>
      <c r="M7" s="16">
        <f t="shared" ref="M7:M13" si="3">L7*100/$E7</f>
        <v>5.6106159875319648</v>
      </c>
      <c r="N7" s="16">
        <f>N5+N6</f>
        <v>1316</v>
      </c>
      <c r="O7" s="16">
        <f t="shared" ref="O7:O13" si="4">N7*100/$E7</f>
        <v>1.9912542177972128</v>
      </c>
    </row>
    <row r="8" spans="1:15" ht="11.45" customHeight="1" x14ac:dyDescent="0.2">
      <c r="A8" s="1">
        <v>54</v>
      </c>
      <c r="B8" s="1"/>
      <c r="C8" s="1"/>
      <c r="D8" s="17" t="s">
        <v>41</v>
      </c>
      <c r="E8" s="1">
        <f>F8+H8+J8+L8+N8</f>
        <v>30611</v>
      </c>
      <c r="F8" s="1">
        <v>7662</v>
      </c>
      <c r="G8" s="1">
        <f t="shared" si="0"/>
        <v>25.030217895527752</v>
      </c>
      <c r="H8" s="1">
        <v>13828</v>
      </c>
      <c r="I8" s="1">
        <f t="shared" si="1"/>
        <v>45.17330371435105</v>
      </c>
      <c r="J8" s="1">
        <v>6453</v>
      </c>
      <c r="K8" s="1">
        <f t="shared" si="2"/>
        <v>21.080657280062724</v>
      </c>
      <c r="L8" s="1">
        <v>2459</v>
      </c>
      <c r="M8" s="1">
        <f t="shared" si="3"/>
        <v>8.0330600111071178</v>
      </c>
      <c r="N8" s="1">
        <v>209</v>
      </c>
      <c r="O8" s="1">
        <f t="shared" si="4"/>
        <v>0.68276109895135739</v>
      </c>
    </row>
    <row r="9" spans="1:15" ht="11.45" customHeight="1" x14ac:dyDescent="0.2">
      <c r="A9" s="1">
        <v>12</v>
      </c>
      <c r="B9" s="1"/>
      <c r="C9" s="1"/>
      <c r="D9" s="17" t="s">
        <v>42</v>
      </c>
      <c r="E9" s="1">
        <f>F9+H9+J9+L9+N9</f>
        <v>40794</v>
      </c>
      <c r="F9" s="1">
        <v>10892</v>
      </c>
      <c r="G9" s="1">
        <f t="shared" si="0"/>
        <v>26.700004902681766</v>
      </c>
      <c r="H9" s="1">
        <v>15232</v>
      </c>
      <c r="I9" s="1">
        <f t="shared" si="1"/>
        <v>37.338824336912289</v>
      </c>
      <c r="J9" s="1">
        <v>10985</v>
      </c>
      <c r="K9" s="1">
        <f t="shared" si="2"/>
        <v>26.927979604843848</v>
      </c>
      <c r="L9" s="1">
        <v>3070</v>
      </c>
      <c r="M9" s="1">
        <f t="shared" si="3"/>
        <v>7.5256165122321912</v>
      </c>
      <c r="N9" s="1">
        <v>615</v>
      </c>
      <c r="O9" s="1">
        <f t="shared" si="4"/>
        <v>1.5075746433299015</v>
      </c>
    </row>
    <row r="10" spans="1:15" ht="11.45" customHeight="1" x14ac:dyDescent="0.2">
      <c r="A10" s="1"/>
      <c r="B10" s="1">
        <v>11</v>
      </c>
      <c r="C10" s="1" t="s">
        <v>7</v>
      </c>
      <c r="D10" s="17" t="s">
        <v>43</v>
      </c>
      <c r="E10" s="16">
        <f>E8+E9</f>
        <v>71405</v>
      </c>
      <c r="F10" s="16">
        <f>F8+F9</f>
        <v>18554</v>
      </c>
      <c r="G10" s="16">
        <f t="shared" si="0"/>
        <v>25.984174777676632</v>
      </c>
      <c r="H10" s="16">
        <f>H8+H9</f>
        <v>29060</v>
      </c>
      <c r="I10" s="16">
        <f t="shared" si="1"/>
        <v>40.697430151950144</v>
      </c>
      <c r="J10" s="16">
        <f>J8+J9</f>
        <v>17438</v>
      </c>
      <c r="K10" s="16">
        <f t="shared" si="2"/>
        <v>24.421259015475108</v>
      </c>
      <c r="L10" s="16">
        <f>L8+L9</f>
        <v>5529</v>
      </c>
      <c r="M10" s="16">
        <f t="shared" si="3"/>
        <v>7.7431552412296059</v>
      </c>
      <c r="N10" s="16">
        <f>N8+N9</f>
        <v>824</v>
      </c>
      <c r="O10" s="16">
        <f t="shared" si="4"/>
        <v>1.1539808136685106</v>
      </c>
    </row>
    <row r="11" spans="1:15" ht="11.45" customHeight="1" x14ac:dyDescent="0.2">
      <c r="A11" s="1">
        <v>99</v>
      </c>
      <c r="B11" s="1"/>
      <c r="C11" s="1"/>
      <c r="D11" s="17" t="s">
        <v>44</v>
      </c>
      <c r="E11" s="1">
        <f>F11+H11+J11+L11+N11</f>
        <v>39967</v>
      </c>
      <c r="F11" s="1">
        <v>6911</v>
      </c>
      <c r="G11" s="1">
        <f t="shared" si="0"/>
        <v>17.291765706708034</v>
      </c>
      <c r="H11" s="1">
        <v>15480</v>
      </c>
      <c r="I11" s="1">
        <f t="shared" si="1"/>
        <v>38.731953861936098</v>
      </c>
      <c r="J11" s="1">
        <v>14761</v>
      </c>
      <c r="K11" s="1">
        <f t="shared" si="2"/>
        <v>36.932969700002502</v>
      </c>
      <c r="L11" s="1">
        <v>2453</v>
      </c>
      <c r="M11" s="1">
        <f t="shared" si="3"/>
        <v>6.1375634898791507</v>
      </c>
      <c r="N11" s="1">
        <v>362</v>
      </c>
      <c r="O11" s="1">
        <f t="shared" si="4"/>
        <v>0.90574724147421626</v>
      </c>
    </row>
    <row r="12" spans="1:15" ht="11.45" customHeight="1" x14ac:dyDescent="0.2">
      <c r="A12" s="1">
        <v>105</v>
      </c>
      <c r="B12" s="1"/>
      <c r="C12" s="1"/>
      <c r="D12" s="17" t="s">
        <v>45</v>
      </c>
      <c r="E12" s="1">
        <f>F12+H12+J12+L12+N12</f>
        <v>37037</v>
      </c>
      <c r="F12" s="1">
        <v>7399</v>
      </c>
      <c r="G12" s="1">
        <f t="shared" si="0"/>
        <v>19.977319977319976</v>
      </c>
      <c r="H12" s="1">
        <v>13651</v>
      </c>
      <c r="I12" s="1">
        <f t="shared" si="1"/>
        <v>36.85773685773686</v>
      </c>
      <c r="J12" s="1">
        <v>11677</v>
      </c>
      <c r="K12" s="1">
        <f t="shared" si="2"/>
        <v>31.527931527931528</v>
      </c>
      <c r="L12" s="1">
        <v>3989</v>
      </c>
      <c r="M12" s="1">
        <f t="shared" si="3"/>
        <v>10.77031077031077</v>
      </c>
      <c r="N12" s="1">
        <f>199+122</f>
        <v>321</v>
      </c>
      <c r="O12" s="1">
        <f t="shared" si="4"/>
        <v>0.86670086670086666</v>
      </c>
    </row>
    <row r="13" spans="1:15" ht="11.45" customHeight="1" x14ac:dyDescent="0.2">
      <c r="A13" s="5"/>
      <c r="B13" s="5">
        <v>12</v>
      </c>
      <c r="C13" s="5" t="s">
        <v>7</v>
      </c>
      <c r="D13" s="19" t="s">
        <v>46</v>
      </c>
      <c r="E13" s="12">
        <f>E11+E12</f>
        <v>77004</v>
      </c>
      <c r="F13" s="12">
        <f>F11+F12</f>
        <v>14310</v>
      </c>
      <c r="G13" s="12">
        <f>F13*100/$E13</f>
        <v>18.583450210378682</v>
      </c>
      <c r="H13" s="12">
        <f>H11+H12</f>
        <v>29131</v>
      </c>
      <c r="I13" s="12">
        <f t="shared" si="1"/>
        <v>37.830502311568232</v>
      </c>
      <c r="J13" s="12">
        <f>J11+J12</f>
        <v>26438</v>
      </c>
      <c r="K13" s="12">
        <f t="shared" si="2"/>
        <v>34.333281387979845</v>
      </c>
      <c r="L13" s="12">
        <f>L11+L12</f>
        <v>6442</v>
      </c>
      <c r="M13" s="12">
        <f t="shared" si="3"/>
        <v>8.3657991792634157</v>
      </c>
      <c r="N13" s="12">
        <f>N11+N12</f>
        <v>683</v>
      </c>
      <c r="O13" s="12">
        <f t="shared" si="4"/>
        <v>0.88696691080982804</v>
      </c>
    </row>
    <row r="14" spans="1:15" ht="11.45" customHeight="1" x14ac:dyDescent="0.2">
      <c r="G14" s="146" t="s">
        <v>380</v>
      </c>
      <c r="I14" s="146" t="s">
        <v>381</v>
      </c>
      <c r="K14" s="146" t="s">
        <v>382</v>
      </c>
      <c r="M14" s="146" t="s">
        <v>383</v>
      </c>
      <c r="N14" s="147"/>
    </row>
    <row r="21" spans="1:15" ht="11.45" customHeight="1" x14ac:dyDescent="0.2">
      <c r="A21" t="s">
        <v>210</v>
      </c>
    </row>
    <row r="22" spans="1:15" ht="11.45" customHeight="1" x14ac:dyDescent="0.2">
      <c r="A22" s="55" t="s">
        <v>231</v>
      </c>
      <c r="B22" s="39"/>
      <c r="C22" s="39"/>
      <c r="D22" s="39"/>
      <c r="E22" s="84">
        <v>6</v>
      </c>
      <c r="F22" s="84">
        <v>2</v>
      </c>
      <c r="H22" s="28">
        <v>4</v>
      </c>
      <c r="I22" s="28"/>
      <c r="J22" s="28">
        <v>0</v>
      </c>
      <c r="K22" s="28"/>
      <c r="L22" s="28">
        <v>0</v>
      </c>
    </row>
    <row r="23" spans="1:15" ht="11.45" customHeight="1" x14ac:dyDescent="0.2">
      <c r="A23" s="55" t="s">
        <v>232</v>
      </c>
      <c r="B23" s="39"/>
      <c r="C23" s="39"/>
      <c r="D23" s="39"/>
      <c r="E23" s="1">
        <f>E7+E10+E13+E16+E19</f>
        <v>214498</v>
      </c>
      <c r="F23" s="1">
        <f>F7+F10+F13+F16+F19</f>
        <v>62474</v>
      </c>
      <c r="G23" s="1">
        <f>F23*100/$E23</f>
        <v>29.12567949351509</v>
      </c>
      <c r="H23" s="1">
        <f>H7+H10+H13+H16+H19</f>
        <v>76665</v>
      </c>
      <c r="I23" s="1">
        <f>H23*100/$E23</f>
        <v>35.741591996195766</v>
      </c>
      <c r="J23" s="1">
        <f>J7+J10+J13+J16+J19</f>
        <v>56857</v>
      </c>
      <c r="K23" s="1">
        <f>J23*100/$E23</f>
        <v>26.507007058340871</v>
      </c>
      <c r="L23" s="1">
        <f>L7+L10+L13+L16+L19</f>
        <v>15679</v>
      </c>
      <c r="M23" s="1">
        <f>L23*100/$E23</f>
        <v>7.3096252645712312</v>
      </c>
      <c r="N23" s="1">
        <f>N7+N10+N13+N16+N19</f>
        <v>2823</v>
      </c>
      <c r="O23" s="1">
        <f>N23*100/$E23</f>
        <v>1.3160961873770385</v>
      </c>
    </row>
    <row r="24" spans="1:15" s="28" customFormat="1" ht="11.45" customHeight="1" x14ac:dyDescent="0.2">
      <c r="A24" s="55"/>
      <c r="B24" s="39"/>
      <c r="C24" s="39"/>
      <c r="D24" s="3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1.45" customHeight="1" x14ac:dyDescent="0.2">
      <c r="A25" s="55" t="s">
        <v>241</v>
      </c>
      <c r="B25" s="39"/>
      <c r="C25" s="39"/>
      <c r="D25" s="3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1.45" customHeight="1" x14ac:dyDescent="0.2">
      <c r="A26" s="38" t="s">
        <v>233</v>
      </c>
      <c r="B26" s="39"/>
      <c r="C26" s="39"/>
      <c r="D26" s="39"/>
      <c r="E26" s="38">
        <f>F26+H26+J26+L26+N26</f>
        <v>3</v>
      </c>
      <c r="F26" s="28">
        <v>1</v>
      </c>
      <c r="H26" s="28">
        <v>2</v>
      </c>
      <c r="J26" s="28">
        <v>0</v>
      </c>
      <c r="L26" s="28">
        <v>0</v>
      </c>
      <c r="N26" s="28">
        <v>0</v>
      </c>
    </row>
    <row r="27" spans="1:15" ht="11.45" customHeight="1" x14ac:dyDescent="0.2">
      <c r="A27" s="38" t="s">
        <v>234</v>
      </c>
      <c r="B27" s="39"/>
      <c r="C27" s="39"/>
      <c r="D27" s="39"/>
      <c r="E27" s="38">
        <f>F27+H27+J27+L27+N27</f>
        <v>1</v>
      </c>
      <c r="F27" s="28">
        <v>0</v>
      </c>
      <c r="H27" s="28">
        <v>0</v>
      </c>
      <c r="J27" s="28">
        <v>1</v>
      </c>
      <c r="L27" s="28">
        <v>0</v>
      </c>
      <c r="N27" s="28">
        <v>0</v>
      </c>
    </row>
    <row r="28" spans="1:15" ht="11.45" customHeight="1" x14ac:dyDescent="0.2">
      <c r="A28" s="38" t="s">
        <v>244</v>
      </c>
      <c r="B28" s="39"/>
      <c r="C28" s="39"/>
      <c r="D28" s="39"/>
      <c r="E28" s="38"/>
      <c r="F28" s="28"/>
      <c r="H28" s="28"/>
      <c r="J28" s="28"/>
    </row>
    <row r="29" spans="1:15" ht="11.45" customHeight="1" x14ac:dyDescent="0.2">
      <c r="A29" s="38" t="s">
        <v>237</v>
      </c>
      <c r="B29" s="38"/>
      <c r="C29" s="38"/>
      <c r="D29" s="38"/>
      <c r="E29" s="38"/>
      <c r="F29" s="28"/>
      <c r="G29" s="28">
        <v>16.670000000000002</v>
      </c>
      <c r="H29" s="28"/>
      <c r="I29" s="28">
        <v>33.340000000000003</v>
      </c>
      <c r="J29" s="28"/>
      <c r="K29" s="28">
        <v>16.670000000000002</v>
      </c>
      <c r="L29" s="28"/>
      <c r="M29" s="28"/>
      <c r="N29" s="28"/>
      <c r="O29" s="28"/>
    </row>
    <row r="30" spans="1:15" ht="11.45" customHeight="1" x14ac:dyDescent="0.2">
      <c r="A30" s="38" t="s">
        <v>255</v>
      </c>
      <c r="B30" s="39"/>
      <c r="C30" s="39"/>
      <c r="D30" s="39"/>
      <c r="E30" s="38"/>
      <c r="F30" s="28"/>
      <c r="G30" s="28">
        <f>G23-G29</f>
        <v>12.455679493515088</v>
      </c>
      <c r="H30" s="28"/>
      <c r="I30" s="28">
        <f>I23-I29</f>
        <v>2.4015919961957621</v>
      </c>
      <c r="J30" s="28"/>
      <c r="K30" s="28">
        <f>K23-K29</f>
        <v>9.8370070583408697</v>
      </c>
      <c r="M30" s="28">
        <f>M23-M29</f>
        <v>7.3096252645712312</v>
      </c>
      <c r="N30" s="28"/>
      <c r="O30" s="28">
        <f>O23-O29</f>
        <v>1.3160961873770385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2</v>
      </c>
      <c r="F31" s="85">
        <v>1</v>
      </c>
      <c r="G31" s="85"/>
      <c r="H31" s="85">
        <v>0</v>
      </c>
      <c r="I31" s="85"/>
      <c r="J31" s="85">
        <v>1</v>
      </c>
      <c r="K31" s="86"/>
      <c r="L31" s="85">
        <v>0</v>
      </c>
      <c r="M31" s="86"/>
      <c r="N31" s="86"/>
      <c r="O31" s="86"/>
    </row>
    <row r="32" spans="1:15" ht="11.45" customHeight="1" x14ac:dyDescent="0.2">
      <c r="A32" s="38" t="s">
        <v>239</v>
      </c>
      <c r="B32" s="39"/>
      <c r="C32" s="39"/>
      <c r="D32" s="39"/>
      <c r="E32" s="54">
        <f>E26+E27+E31</f>
        <v>6</v>
      </c>
      <c r="F32" s="28">
        <v>2</v>
      </c>
      <c r="G32" s="28"/>
      <c r="H32" s="28">
        <v>2</v>
      </c>
      <c r="I32" s="28"/>
      <c r="J32" s="28">
        <v>2</v>
      </c>
      <c r="K32" s="28"/>
      <c r="L32" s="28">
        <v>0</v>
      </c>
      <c r="M32" s="28"/>
      <c r="N32" s="28">
        <f>N27+N31</f>
        <v>0</v>
      </c>
      <c r="O32" s="28"/>
    </row>
    <row r="33" spans="1:15" ht="11.45" customHeight="1" x14ac:dyDescent="0.2">
      <c r="A33" s="38" t="s">
        <v>245</v>
      </c>
      <c r="B33" s="39"/>
      <c r="C33" s="39"/>
      <c r="D33" s="39"/>
      <c r="E33" s="88">
        <f>G33+I33+K33+M33+O33</f>
        <v>88.98</v>
      </c>
      <c r="F33" s="28"/>
      <c r="G33" s="88">
        <v>29.13</v>
      </c>
      <c r="H33" s="28"/>
      <c r="I33" s="88">
        <v>33.340000000000003</v>
      </c>
      <c r="J33" s="28"/>
      <c r="K33" s="28">
        <v>26.51</v>
      </c>
      <c r="L33" s="28"/>
      <c r="M33" s="28">
        <v>0</v>
      </c>
      <c r="N33" s="28"/>
      <c r="O33" s="28">
        <v>0</v>
      </c>
    </row>
    <row r="34" spans="1:15" ht="11.45" customHeight="1" x14ac:dyDescent="0.2">
      <c r="A34" s="38" t="s">
        <v>314</v>
      </c>
      <c r="B34" s="39"/>
      <c r="C34" s="39"/>
      <c r="D34" s="39"/>
      <c r="E34" s="87">
        <f>F34+H34+J34+L34</f>
        <v>190860.3204</v>
      </c>
      <c r="F34" s="28">
        <f>G33*$E23/100</f>
        <v>62483.267400000004</v>
      </c>
      <c r="G34" s="28"/>
      <c r="H34" s="28">
        <f>I33*$E23/100</f>
        <v>71513.633199999997</v>
      </c>
      <c r="I34" s="28"/>
      <c r="J34" s="28">
        <f>K33*$E23/100</f>
        <v>56863.419800000003</v>
      </c>
      <c r="K34" s="28"/>
      <c r="L34" s="28">
        <f>M33*$E23/100</f>
        <v>0</v>
      </c>
      <c r="N34" s="28">
        <f>O33*$E23/100</f>
        <v>0</v>
      </c>
      <c r="O34" s="28"/>
    </row>
    <row r="35" spans="1:15" ht="11.45" customHeight="1" x14ac:dyDescent="0.2">
      <c r="A35" s="79" t="s">
        <v>313</v>
      </c>
      <c r="B35" s="80"/>
      <c r="C35" s="80"/>
      <c r="D35" s="80"/>
      <c r="E35" s="91">
        <f>G35+I35+K35+M35+O35</f>
        <v>0.88949999999999996</v>
      </c>
      <c r="F35" s="90"/>
      <c r="G35" s="91">
        <v>0.29099999999999998</v>
      </c>
      <c r="H35" s="90"/>
      <c r="I35" s="91">
        <v>0.33339999999999997</v>
      </c>
      <c r="J35" s="90"/>
      <c r="K35" s="91">
        <v>0.2651</v>
      </c>
      <c r="L35" s="90"/>
      <c r="M35" s="91">
        <v>0</v>
      </c>
      <c r="N35" s="90"/>
      <c r="O35" s="90"/>
    </row>
    <row r="36" spans="1:15" ht="11.45" customHeight="1" x14ac:dyDescent="0.2">
      <c r="A36" s="81" t="s">
        <v>312</v>
      </c>
      <c r="B36" s="82"/>
      <c r="C36" s="82"/>
      <c r="D36" s="82"/>
      <c r="E36" s="89">
        <f>G36+I36+K36+M36+O36</f>
        <v>0.40900000000000003</v>
      </c>
      <c r="F36" s="92"/>
      <c r="G36" s="89">
        <v>0.13800000000000001</v>
      </c>
      <c r="H36" s="92"/>
      <c r="I36" s="89">
        <v>0.27100000000000002</v>
      </c>
      <c r="J36" s="93"/>
      <c r="K36" s="94" t="s">
        <v>260</v>
      </c>
      <c r="L36" s="92"/>
      <c r="M36" s="94" t="s">
        <v>260</v>
      </c>
      <c r="N36" s="92"/>
      <c r="O36" s="93"/>
    </row>
    <row r="37" spans="1:15" ht="11.45" customHeight="1" x14ac:dyDescent="0.2">
      <c r="A37" s="38" t="s">
        <v>240</v>
      </c>
      <c r="B37" s="39"/>
      <c r="C37" s="39"/>
      <c r="D37" s="39"/>
    </row>
    <row r="38" spans="1:15" ht="11.45" customHeight="1" x14ac:dyDescent="0.2">
      <c r="A38" s="38" t="s">
        <v>252</v>
      </c>
      <c r="B38" s="39"/>
      <c r="C38" s="39"/>
      <c r="D38" s="39"/>
    </row>
    <row r="39" spans="1:15" ht="11.45" customHeight="1" x14ac:dyDescent="0.2">
      <c r="A39" s="61" t="s">
        <v>276</v>
      </c>
    </row>
    <row r="40" spans="1:15" ht="11.45" customHeight="1" x14ac:dyDescent="0.2">
      <c r="A40" s="38" t="s">
        <v>253</v>
      </c>
      <c r="E40" s="28">
        <f>F40+H40+J40+L40+N40</f>
        <v>87801</v>
      </c>
      <c r="F40" s="28">
        <f>F5+F6</f>
        <v>29610</v>
      </c>
      <c r="G40" s="28">
        <f>F40*100/$E23</f>
        <v>13.804324515846302</v>
      </c>
      <c r="H40" s="28">
        <f>H23-H5-H6</f>
        <v>58191</v>
      </c>
      <c r="I40" s="28">
        <f>H40*100/$E23</f>
        <v>27.128924279014257</v>
      </c>
      <c r="J40" s="28">
        <v>0</v>
      </c>
      <c r="K40" s="28">
        <f>J40*100/$E23</f>
        <v>0</v>
      </c>
      <c r="L40" s="28">
        <v>0</v>
      </c>
      <c r="M40" s="28">
        <f>L40*100/$E23</f>
        <v>0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E41" s="95" t="s">
        <v>311</v>
      </c>
      <c r="G41" s="95" t="s">
        <v>309</v>
      </c>
      <c r="I41" s="95" t="s">
        <v>310</v>
      </c>
      <c r="K41" s="95" t="s">
        <v>260</v>
      </c>
      <c r="L41" s="28"/>
      <c r="M41" s="95" t="s">
        <v>260</v>
      </c>
      <c r="N41" s="28"/>
      <c r="O41" s="95" t="s">
        <v>260</v>
      </c>
    </row>
    <row r="42" spans="1:15" ht="11.45" customHeight="1" x14ac:dyDescent="0.2">
      <c r="E42" s="28"/>
      <c r="G42" s="96"/>
    </row>
  </sheetData>
  <sheetProtection selectLockedCells="1" selectUnlockedCells="1"/>
  <pageMargins left="0.78740157480314965" right="0.78740157480314965" top="1.0629921259842521" bottom="1.0629921259842521" header="0.78740157480314965" footer="0.78740157480314965"/>
  <pageSetup firstPageNumber="0" orientation="portrait" horizontalDpi="300" verticalDpi="300" r:id="rId1"/>
  <headerFooter alignWithMargins="0">
    <oddHeader>&amp;C&amp;"Times New Roman,Regular"&amp;12&amp;A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B1" zoomScale="150" zoomScaleNormal="150" workbookViewId="0">
      <pane ySplit="4" topLeftCell="A26" activePane="bottomLeft" state="frozen"/>
      <selection pane="bottomLeft" activeCell="H38" sqref="H38"/>
    </sheetView>
  </sheetViews>
  <sheetFormatPr defaultColWidth="11.5703125" defaultRowHeight="11.45" customHeight="1" x14ac:dyDescent="0.2"/>
  <cols>
    <col min="1" max="1" width="5.5703125" customWidth="1"/>
    <col min="2" max="3" width="5.140625" customWidth="1"/>
    <col min="4" max="4" width="16.5703125" customWidth="1"/>
    <col min="5" max="5" width="6.42578125" customWidth="1"/>
    <col min="6" max="8" width="5" customWidth="1"/>
    <col min="9" max="9" width="5.7109375" customWidth="1"/>
    <col min="10" max="15" width="5" customWidth="1"/>
  </cols>
  <sheetData>
    <row r="1" spans="1:15" ht="12.75" customHeight="1" x14ac:dyDescent="0.2">
      <c r="A1" t="s">
        <v>331</v>
      </c>
    </row>
    <row r="2" spans="1:15" ht="12.75" customHeight="1" x14ac:dyDescent="0.2">
      <c r="A2" s="35" t="s">
        <v>216</v>
      </c>
    </row>
    <row r="3" spans="1:15" ht="12.75" customHeight="1" x14ac:dyDescent="0.2">
      <c r="E3" s="35" t="s">
        <v>205</v>
      </c>
    </row>
    <row r="4" spans="1:15" ht="12.75" customHeight="1" x14ac:dyDescent="0.2">
      <c r="A4" s="36" t="s">
        <v>206</v>
      </c>
      <c r="B4" s="36" t="s">
        <v>207</v>
      </c>
      <c r="C4" s="36" t="s">
        <v>208</v>
      </c>
      <c r="D4" s="37" t="s">
        <v>209</v>
      </c>
      <c r="E4" s="6" t="s">
        <v>4</v>
      </c>
      <c r="F4" s="7" t="s">
        <v>5</v>
      </c>
      <c r="G4" s="7" t="s">
        <v>6</v>
      </c>
      <c r="H4" s="8" t="s">
        <v>7</v>
      </c>
      <c r="I4" s="8" t="s">
        <v>6</v>
      </c>
      <c r="J4" s="9" t="s">
        <v>8</v>
      </c>
      <c r="K4" s="9" t="s">
        <v>6</v>
      </c>
      <c r="L4" s="10" t="s">
        <v>9</v>
      </c>
      <c r="M4" s="10" t="s">
        <v>6</v>
      </c>
      <c r="N4" s="6" t="s">
        <v>10</v>
      </c>
      <c r="O4" s="6" t="s">
        <v>6</v>
      </c>
    </row>
    <row r="5" spans="1:15" ht="11.45" customHeight="1" x14ac:dyDescent="0.2">
      <c r="A5" s="1">
        <v>52</v>
      </c>
      <c r="B5" s="1"/>
      <c r="C5" s="1"/>
      <c r="D5" s="17" t="s">
        <v>47</v>
      </c>
      <c r="E5" s="1">
        <f>F5+H5+J5+L5+N5</f>
        <v>39404</v>
      </c>
      <c r="F5" s="1">
        <v>7671</v>
      </c>
      <c r="G5" s="1">
        <f t="shared" ref="G5:G16" si="0">F5*100/$E5</f>
        <v>19.467566744492945</v>
      </c>
      <c r="H5" s="1">
        <v>17476</v>
      </c>
      <c r="I5" s="1">
        <f t="shared" ref="I5:I16" si="1">H5*100/$E5</f>
        <v>44.350827327174905</v>
      </c>
      <c r="J5" s="1">
        <v>10671</v>
      </c>
      <c r="K5" s="1">
        <f t="shared" ref="K5:K16" si="2">J5*100/$E5</f>
        <v>27.081007004365038</v>
      </c>
      <c r="L5" s="1">
        <v>2856</v>
      </c>
      <c r="M5" s="1">
        <f t="shared" ref="M5:M16" si="3">L5*100/$E5</f>
        <v>7.2479951273982337</v>
      </c>
      <c r="N5" s="1">
        <v>730</v>
      </c>
      <c r="O5" s="1">
        <f t="shared" ref="O5:O16" si="4">N5*100/$E5</f>
        <v>1.8526037965688762</v>
      </c>
    </row>
    <row r="6" spans="1:15" ht="11.45" customHeight="1" x14ac:dyDescent="0.2">
      <c r="A6" s="1">
        <v>11</v>
      </c>
      <c r="B6" s="1"/>
      <c r="C6" s="1"/>
      <c r="D6" s="17" t="s">
        <v>48</v>
      </c>
      <c r="E6" s="1">
        <f>F6+H6+J6+L6+N6</f>
        <v>37999</v>
      </c>
      <c r="F6" s="1">
        <v>7570</v>
      </c>
      <c r="G6" s="1">
        <f t="shared" si="0"/>
        <v>19.921576883602199</v>
      </c>
      <c r="H6" s="1">
        <v>15020</v>
      </c>
      <c r="I6" s="1">
        <f t="shared" si="1"/>
        <v>39.527355983052189</v>
      </c>
      <c r="J6" s="1">
        <v>11807</v>
      </c>
      <c r="K6" s="1">
        <f t="shared" si="2"/>
        <v>31.071870312376642</v>
      </c>
      <c r="L6" s="1">
        <v>2666</v>
      </c>
      <c r="M6" s="1">
        <f t="shared" si="3"/>
        <v>7.0159741045816997</v>
      </c>
      <c r="N6" s="1">
        <v>936</v>
      </c>
      <c r="O6" s="1">
        <f t="shared" si="4"/>
        <v>2.4632227163872735</v>
      </c>
    </row>
    <row r="7" spans="1:15" ht="11.45" customHeight="1" x14ac:dyDescent="0.2">
      <c r="A7" s="1"/>
      <c r="B7" s="1">
        <v>13</v>
      </c>
      <c r="C7" s="1" t="s">
        <v>7</v>
      </c>
      <c r="D7" s="17" t="s">
        <v>49</v>
      </c>
      <c r="E7" s="16">
        <f>E5+E6</f>
        <v>77403</v>
      </c>
      <c r="F7" s="16">
        <f>F5+F6</f>
        <v>15241</v>
      </c>
      <c r="G7" s="16">
        <f t="shared" si="0"/>
        <v>19.690451274498404</v>
      </c>
      <c r="H7" s="16">
        <f>H5+H6</f>
        <v>32496</v>
      </c>
      <c r="I7" s="16">
        <f t="shared" si="1"/>
        <v>41.982868881051125</v>
      </c>
      <c r="J7" s="16">
        <f>J5+J6</f>
        <v>22478</v>
      </c>
      <c r="K7" s="16">
        <f t="shared" si="2"/>
        <v>29.040218079402607</v>
      </c>
      <c r="L7" s="16">
        <f>L5+L6</f>
        <v>5522</v>
      </c>
      <c r="M7" s="16">
        <f t="shared" si="3"/>
        <v>7.1340904099324316</v>
      </c>
      <c r="N7" s="16">
        <f>N5+N6</f>
        <v>1666</v>
      </c>
      <c r="O7" s="16">
        <f t="shared" si="4"/>
        <v>2.1523713551154349</v>
      </c>
    </row>
    <row r="8" spans="1:15" ht="11.45" customHeight="1" x14ac:dyDescent="0.2">
      <c r="A8" s="1">
        <v>91</v>
      </c>
      <c r="B8" s="1"/>
      <c r="C8" s="1"/>
      <c r="D8" s="20" t="s">
        <v>50</v>
      </c>
      <c r="E8" s="1">
        <f>F8+H8+J8+L8+N8</f>
        <v>38505</v>
      </c>
      <c r="F8" s="1">
        <v>8721</v>
      </c>
      <c r="G8" s="1">
        <f t="shared" si="0"/>
        <v>22.649006622516556</v>
      </c>
      <c r="H8" s="1">
        <v>12941</v>
      </c>
      <c r="I8" s="1">
        <f t="shared" si="1"/>
        <v>33.608622256849763</v>
      </c>
      <c r="J8" s="1">
        <v>13889</v>
      </c>
      <c r="K8" s="1">
        <f t="shared" si="2"/>
        <v>36.070640176600442</v>
      </c>
      <c r="L8" s="1">
        <v>2490</v>
      </c>
      <c r="M8" s="1">
        <f t="shared" si="3"/>
        <v>6.466692637319829</v>
      </c>
      <c r="N8" s="1">
        <f>260+204</f>
        <v>464</v>
      </c>
      <c r="O8" s="1">
        <f t="shared" si="4"/>
        <v>1.2050383067134138</v>
      </c>
    </row>
    <row r="9" spans="1:15" ht="11.45" customHeight="1" x14ac:dyDescent="0.2">
      <c r="A9" s="1">
        <v>61</v>
      </c>
      <c r="B9" s="1"/>
      <c r="C9" s="1"/>
      <c r="D9" s="20" t="s">
        <v>51</v>
      </c>
      <c r="E9" s="1">
        <f>F9+H9+J9+L9+N9</f>
        <v>37910</v>
      </c>
      <c r="F9" s="1">
        <v>5057</v>
      </c>
      <c r="G9" s="1">
        <f t="shared" si="0"/>
        <v>13.339488261672383</v>
      </c>
      <c r="H9" s="1">
        <v>11541</v>
      </c>
      <c r="I9" s="1">
        <f t="shared" si="1"/>
        <v>30.443154840411502</v>
      </c>
      <c r="J9" s="1">
        <v>18719</v>
      </c>
      <c r="K9" s="1">
        <f t="shared" si="2"/>
        <v>49.377472962279079</v>
      </c>
      <c r="L9" s="1">
        <v>2198</v>
      </c>
      <c r="M9" s="1">
        <f t="shared" si="3"/>
        <v>5.7979424953838041</v>
      </c>
      <c r="N9" s="1">
        <f>226+169</f>
        <v>395</v>
      </c>
      <c r="O9" s="1">
        <f t="shared" si="4"/>
        <v>1.0419414402532314</v>
      </c>
    </row>
    <row r="10" spans="1:15" ht="11.45" customHeight="1" x14ac:dyDescent="0.2">
      <c r="A10" s="1"/>
      <c r="B10" s="1">
        <v>14</v>
      </c>
      <c r="C10" s="1" t="s">
        <v>8</v>
      </c>
      <c r="D10" s="20" t="s">
        <v>52</v>
      </c>
      <c r="E10" s="16">
        <f>E8+E9</f>
        <v>76415</v>
      </c>
      <c r="F10" s="16">
        <f>F8+F9</f>
        <v>13778</v>
      </c>
      <c r="G10" s="16">
        <f t="shared" si="0"/>
        <v>18.030491395668388</v>
      </c>
      <c r="H10" s="16">
        <f>H8+H9</f>
        <v>24482</v>
      </c>
      <c r="I10" s="16">
        <f t="shared" si="1"/>
        <v>32.038212392854803</v>
      </c>
      <c r="J10" s="16">
        <f>J8+J9</f>
        <v>32608</v>
      </c>
      <c r="K10" s="16">
        <f t="shared" si="2"/>
        <v>42.672250212654582</v>
      </c>
      <c r="L10" s="16">
        <f>L8+L9</f>
        <v>4688</v>
      </c>
      <c r="M10" s="16">
        <f t="shared" si="3"/>
        <v>6.1349211542236475</v>
      </c>
      <c r="N10" s="16">
        <f>N8+N9</f>
        <v>859</v>
      </c>
      <c r="O10" s="16">
        <f t="shared" si="4"/>
        <v>1.1241248445985736</v>
      </c>
    </row>
    <row r="11" spans="1:15" ht="11.45" customHeight="1" x14ac:dyDescent="0.2">
      <c r="A11" s="1">
        <v>71</v>
      </c>
      <c r="B11" s="1"/>
      <c r="C11" s="1"/>
      <c r="D11" s="15" t="s">
        <v>53</v>
      </c>
      <c r="E11" s="1">
        <f>F11+H11+J11+L11+N11</f>
        <v>34869</v>
      </c>
      <c r="F11" s="1">
        <v>13658</v>
      </c>
      <c r="G11" s="1">
        <f t="shared" si="0"/>
        <v>39.169462846654625</v>
      </c>
      <c r="H11" s="1">
        <v>8738</v>
      </c>
      <c r="I11" s="1">
        <f t="shared" si="1"/>
        <v>25.059508445897503</v>
      </c>
      <c r="J11" s="1">
        <v>9946</v>
      </c>
      <c r="K11" s="1">
        <f t="shared" si="2"/>
        <v>28.523903754050878</v>
      </c>
      <c r="L11" s="1">
        <v>2013</v>
      </c>
      <c r="M11" s="1">
        <f t="shared" si="3"/>
        <v>5.7730362212853823</v>
      </c>
      <c r="N11" s="1">
        <v>514</v>
      </c>
      <c r="O11" s="1">
        <f t="shared" si="4"/>
        <v>1.4740887321116178</v>
      </c>
    </row>
    <row r="12" spans="1:15" ht="11.45" customHeight="1" x14ac:dyDescent="0.2">
      <c r="A12" s="1">
        <v>108</v>
      </c>
      <c r="B12" s="1"/>
      <c r="C12" s="1"/>
      <c r="D12" s="15" t="s">
        <v>54</v>
      </c>
      <c r="E12" s="1">
        <f>F12+H12+J12+L12+N12</f>
        <v>24542</v>
      </c>
      <c r="F12" s="1">
        <v>8244</v>
      </c>
      <c r="G12" s="1">
        <f t="shared" si="0"/>
        <v>33.591394344389208</v>
      </c>
      <c r="H12" s="1">
        <v>7592</v>
      </c>
      <c r="I12" s="1">
        <f t="shared" si="1"/>
        <v>30.93472414636134</v>
      </c>
      <c r="J12" s="1">
        <v>6982</v>
      </c>
      <c r="K12" s="1">
        <f t="shared" si="2"/>
        <v>28.449189145138945</v>
      </c>
      <c r="L12" s="1">
        <v>1304</v>
      </c>
      <c r="M12" s="1">
        <f t="shared" si="3"/>
        <v>5.3133403960557413</v>
      </c>
      <c r="N12" s="1">
        <v>420</v>
      </c>
      <c r="O12" s="1">
        <f t="shared" si="4"/>
        <v>1.7113519680547633</v>
      </c>
    </row>
    <row r="13" spans="1:15" ht="11.45" customHeight="1" x14ac:dyDescent="0.2">
      <c r="A13" s="1"/>
      <c r="B13" s="1">
        <v>15</v>
      </c>
      <c r="C13" s="5" t="s">
        <v>5</v>
      </c>
      <c r="D13" s="15" t="s">
        <v>55</v>
      </c>
      <c r="E13" s="16">
        <f>E11+E12</f>
        <v>59411</v>
      </c>
      <c r="F13" s="16">
        <f>F11+F12</f>
        <v>21902</v>
      </c>
      <c r="G13" s="16">
        <f t="shared" si="0"/>
        <v>36.865226978169026</v>
      </c>
      <c r="H13" s="16">
        <f>H11+H12</f>
        <v>16330</v>
      </c>
      <c r="I13" s="16">
        <f t="shared" si="1"/>
        <v>27.486492400397232</v>
      </c>
      <c r="J13" s="16">
        <f>J11+J12</f>
        <v>16928</v>
      </c>
      <c r="K13" s="16">
        <f t="shared" si="2"/>
        <v>28.493040009425865</v>
      </c>
      <c r="L13" s="16">
        <f>L11+L12</f>
        <v>3317</v>
      </c>
      <c r="M13" s="16">
        <f t="shared" si="3"/>
        <v>5.5831411691437616</v>
      </c>
      <c r="N13" s="16">
        <f>N11+N12</f>
        <v>934</v>
      </c>
      <c r="O13" s="16">
        <f t="shared" si="4"/>
        <v>1.5720994428641162</v>
      </c>
    </row>
    <row r="14" spans="1:15" ht="11.45" customHeight="1" x14ac:dyDescent="0.2">
      <c r="A14" s="1">
        <v>20</v>
      </c>
      <c r="B14" s="1"/>
      <c r="C14" s="1"/>
      <c r="D14" s="15" t="s">
        <v>56</v>
      </c>
      <c r="E14" s="1">
        <f>F14+H14+J14+L14+N14</f>
        <v>34725</v>
      </c>
      <c r="F14" s="1">
        <v>11605</v>
      </c>
      <c r="G14" s="1">
        <f t="shared" si="0"/>
        <v>33.419726421886246</v>
      </c>
      <c r="H14" s="1">
        <v>10481</v>
      </c>
      <c r="I14" s="1">
        <f t="shared" si="1"/>
        <v>30.182865370770337</v>
      </c>
      <c r="J14" s="1">
        <v>10569</v>
      </c>
      <c r="K14" s="1">
        <f t="shared" si="2"/>
        <v>30.436285097192226</v>
      </c>
      <c r="L14" s="1">
        <v>1848</v>
      </c>
      <c r="M14" s="1">
        <f t="shared" si="3"/>
        <v>5.3218142548596115</v>
      </c>
      <c r="N14" s="1">
        <v>222</v>
      </c>
      <c r="O14" s="1">
        <f t="shared" si="4"/>
        <v>0.63930885529157666</v>
      </c>
    </row>
    <row r="15" spans="1:15" ht="11.45" customHeight="1" x14ac:dyDescent="0.2">
      <c r="A15" s="1">
        <v>116</v>
      </c>
      <c r="B15" s="1"/>
      <c r="C15" s="1"/>
      <c r="D15" s="15" t="s">
        <v>57</v>
      </c>
      <c r="E15" s="1">
        <f>F15+H15+J15+L15+N15</f>
        <v>29773</v>
      </c>
      <c r="F15" s="1">
        <v>11658</v>
      </c>
      <c r="G15" s="1">
        <f t="shared" si="0"/>
        <v>39.156282537869885</v>
      </c>
      <c r="H15" s="1">
        <v>8452</v>
      </c>
      <c r="I15" s="1">
        <f t="shared" si="1"/>
        <v>28.388136902562724</v>
      </c>
      <c r="J15" s="1">
        <v>6634</v>
      </c>
      <c r="K15" s="1">
        <f t="shared" si="2"/>
        <v>22.281933295267525</v>
      </c>
      <c r="L15" s="1">
        <v>2531</v>
      </c>
      <c r="M15" s="1">
        <f t="shared" si="3"/>
        <v>8.5009908306183455</v>
      </c>
      <c r="N15" s="1">
        <v>498</v>
      </c>
      <c r="O15" s="1">
        <f t="shared" si="4"/>
        <v>1.6726564336815235</v>
      </c>
    </row>
    <row r="16" spans="1:15" ht="11.45" customHeight="1" x14ac:dyDescent="0.2">
      <c r="A16" s="5"/>
      <c r="B16" s="5">
        <v>16</v>
      </c>
      <c r="C16" s="5" t="s">
        <v>5</v>
      </c>
      <c r="D16" s="18" t="s">
        <v>58</v>
      </c>
      <c r="E16" s="12">
        <f>E14+E15</f>
        <v>64498</v>
      </c>
      <c r="F16" s="12">
        <f>F14+F15</f>
        <v>23263</v>
      </c>
      <c r="G16" s="12">
        <f t="shared" si="0"/>
        <v>36.067785047598377</v>
      </c>
      <c r="H16" s="12">
        <f>H14+H15</f>
        <v>18933</v>
      </c>
      <c r="I16" s="12">
        <f t="shared" si="1"/>
        <v>29.354398586002667</v>
      </c>
      <c r="J16" s="12">
        <f>J14+J15</f>
        <v>17203</v>
      </c>
      <c r="K16" s="12">
        <f t="shared" si="2"/>
        <v>26.672144872709232</v>
      </c>
      <c r="L16" s="12">
        <f>L14+L15</f>
        <v>4379</v>
      </c>
      <c r="M16" s="12">
        <f t="shared" si="3"/>
        <v>6.789357809544482</v>
      </c>
      <c r="N16" s="12">
        <f>N14+N15</f>
        <v>720</v>
      </c>
      <c r="O16" s="12">
        <f t="shared" si="4"/>
        <v>1.1163136841452448</v>
      </c>
    </row>
    <row r="21" spans="1:15" ht="11.45" customHeight="1" x14ac:dyDescent="0.2">
      <c r="A21" t="s">
        <v>210</v>
      </c>
    </row>
    <row r="22" spans="1:15" ht="11.45" customHeight="1" x14ac:dyDescent="0.2">
      <c r="A22" s="55" t="s">
        <v>231</v>
      </c>
      <c r="B22" s="39"/>
      <c r="C22" s="39"/>
      <c r="D22" s="39"/>
      <c r="E22" s="51">
        <v>8</v>
      </c>
      <c r="F22" s="51">
        <v>4</v>
      </c>
      <c r="G22" s="39"/>
      <c r="H22" s="38">
        <v>2</v>
      </c>
      <c r="I22" s="38"/>
      <c r="J22" s="38">
        <v>2</v>
      </c>
      <c r="K22" s="38"/>
      <c r="L22" s="38">
        <v>0</v>
      </c>
      <c r="M22" s="39"/>
      <c r="N22" s="39"/>
      <c r="O22" s="39"/>
    </row>
    <row r="23" spans="1:15" ht="11.45" customHeight="1" x14ac:dyDescent="0.2">
      <c r="A23" s="55" t="s">
        <v>232</v>
      </c>
      <c r="B23" s="39"/>
      <c r="C23" s="39"/>
      <c r="D23" s="39"/>
      <c r="E23" s="46">
        <f>E7+E10+E13+E16+E19</f>
        <v>277727</v>
      </c>
      <c r="F23" s="46">
        <f>F7+F10+F13+F16+F19</f>
        <v>74184</v>
      </c>
      <c r="G23" s="46">
        <f>F23*100/$E23</f>
        <v>26.711122793246606</v>
      </c>
      <c r="H23" s="46">
        <f>H7+H10+H13+H16+H19</f>
        <v>92241</v>
      </c>
      <c r="I23" s="46">
        <f>H23*100/$E23</f>
        <v>33.212831305562659</v>
      </c>
      <c r="J23" s="46">
        <f>J7+J10+J13+J16+J19</f>
        <v>89217</v>
      </c>
      <c r="K23" s="46">
        <f>J23*100/$E23</f>
        <v>32.123992265786185</v>
      </c>
      <c r="L23" s="46">
        <f>L7+L10+L13+L16+L19</f>
        <v>17906</v>
      </c>
      <c r="M23" s="46">
        <f>L23*100/$E23</f>
        <v>6.4473385734912343</v>
      </c>
      <c r="N23" s="46">
        <f>N7+N10+N13+N16+N19</f>
        <v>4179</v>
      </c>
      <c r="O23" s="46">
        <f>N23*100/$E23</f>
        <v>1.5047150619133178</v>
      </c>
    </row>
    <row r="24" spans="1:15" s="28" customFormat="1" ht="11.45" customHeight="1" x14ac:dyDescent="0.2">
      <c r="A24" s="55"/>
      <c r="B24" s="39"/>
      <c r="C24" s="39"/>
      <c r="D24" s="3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11.45" customHeight="1" x14ac:dyDescent="0.2">
      <c r="A25" s="55" t="s">
        <v>241</v>
      </c>
      <c r="B25" s="39"/>
      <c r="C25" s="39"/>
      <c r="D25" s="3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1.45" customHeight="1" x14ac:dyDescent="0.2">
      <c r="A26" s="38" t="s">
        <v>233</v>
      </c>
      <c r="B26" s="39"/>
      <c r="C26" s="39"/>
      <c r="D26" s="39"/>
      <c r="E26" s="38">
        <f>F26+H26+J26+L26+N26</f>
        <v>4</v>
      </c>
      <c r="F26" s="38">
        <v>2</v>
      </c>
      <c r="G26" s="39"/>
      <c r="H26" s="38">
        <v>1</v>
      </c>
      <c r="I26" s="39"/>
      <c r="J26" s="38">
        <v>1</v>
      </c>
      <c r="K26" s="39"/>
      <c r="L26" s="38">
        <v>0</v>
      </c>
      <c r="M26" s="39"/>
      <c r="N26" s="38">
        <v>0</v>
      </c>
      <c r="O26" s="39"/>
    </row>
    <row r="27" spans="1:15" ht="11.45" customHeight="1" x14ac:dyDescent="0.2">
      <c r="A27" s="38" t="s">
        <v>234</v>
      </c>
      <c r="B27" s="39"/>
      <c r="C27" s="39"/>
      <c r="D27" s="39"/>
      <c r="E27" s="38">
        <f>F27+H27+J27+L27+N27</f>
        <v>2</v>
      </c>
      <c r="F27" s="38">
        <v>0</v>
      </c>
      <c r="G27" s="39"/>
      <c r="H27" s="38">
        <v>1</v>
      </c>
      <c r="I27" s="39"/>
      <c r="J27" s="38">
        <v>1</v>
      </c>
      <c r="K27" s="39"/>
      <c r="L27" s="38">
        <v>0</v>
      </c>
      <c r="M27" s="39"/>
      <c r="N27" s="38">
        <v>0</v>
      </c>
      <c r="O27" s="39"/>
    </row>
    <row r="28" spans="1:15" ht="11.45" customHeight="1" x14ac:dyDescent="0.2">
      <c r="A28" s="38" t="s">
        <v>236</v>
      </c>
      <c r="B28" s="39"/>
      <c r="C28" s="39"/>
      <c r="D28" s="39"/>
      <c r="E28" s="38"/>
      <c r="F28" s="38"/>
      <c r="G28" s="39"/>
      <c r="H28" s="38"/>
      <c r="I28" s="39"/>
      <c r="J28" s="38"/>
      <c r="K28" s="39"/>
      <c r="L28" s="39"/>
      <c r="M28" s="39"/>
      <c r="N28" s="39"/>
      <c r="O28" s="39"/>
    </row>
    <row r="29" spans="1:15" ht="11.45" customHeight="1" x14ac:dyDescent="0.2">
      <c r="A29" s="38" t="s">
        <v>237</v>
      </c>
      <c r="B29" s="38"/>
      <c r="C29" s="38"/>
      <c r="D29" s="38"/>
      <c r="E29" s="38"/>
      <c r="F29" s="38"/>
      <c r="G29" s="38">
        <v>25</v>
      </c>
      <c r="H29" s="38"/>
      <c r="I29" s="38">
        <v>25</v>
      </c>
      <c r="J29" s="38"/>
      <c r="K29" s="38">
        <v>25</v>
      </c>
      <c r="L29" s="38"/>
      <c r="M29" s="38"/>
      <c r="N29" s="38"/>
      <c r="O29" s="38"/>
    </row>
    <row r="30" spans="1:15" ht="11.45" customHeight="1" x14ac:dyDescent="0.2">
      <c r="A30" s="38" t="s">
        <v>255</v>
      </c>
      <c r="B30" s="39"/>
      <c r="C30" s="39"/>
      <c r="D30" s="39"/>
      <c r="E30" s="38"/>
      <c r="F30" s="38"/>
      <c r="G30" s="38">
        <f>G23-G29</f>
        <v>1.7111227932466058</v>
      </c>
      <c r="H30" s="38"/>
      <c r="I30" s="38">
        <f>I23-I29</f>
        <v>8.2128313055626592</v>
      </c>
      <c r="J30" s="38"/>
      <c r="K30" s="38">
        <f>K23-K29</f>
        <v>7.1239922657861854</v>
      </c>
      <c r="L30" s="39"/>
      <c r="M30" s="38">
        <f>M23-M29</f>
        <v>6.4473385734912343</v>
      </c>
      <c r="N30" s="38"/>
      <c r="O30" s="38">
        <f>O23-O29</f>
        <v>1.5047150619133178</v>
      </c>
    </row>
    <row r="31" spans="1:15" ht="11.45" customHeight="1" thickBot="1" x14ac:dyDescent="0.25">
      <c r="A31" s="53" t="s">
        <v>238</v>
      </c>
      <c r="B31" s="52"/>
      <c r="C31" s="52"/>
      <c r="D31" s="52"/>
      <c r="E31" s="53">
        <f>F31+H31+J31+L31+N31</f>
        <v>2</v>
      </c>
      <c r="F31" s="53">
        <v>0</v>
      </c>
      <c r="G31" s="53"/>
      <c r="H31" s="53">
        <v>1</v>
      </c>
      <c r="I31" s="53"/>
      <c r="J31" s="53">
        <v>1</v>
      </c>
      <c r="K31" s="52"/>
      <c r="L31" s="53">
        <v>0</v>
      </c>
      <c r="M31" s="52"/>
      <c r="N31" s="52"/>
      <c r="O31" s="52"/>
    </row>
    <row r="32" spans="1:15" ht="11.45" customHeight="1" x14ac:dyDescent="0.2">
      <c r="A32" s="38" t="s">
        <v>239</v>
      </c>
      <c r="B32" s="39"/>
      <c r="C32" s="39"/>
      <c r="D32" s="39"/>
      <c r="E32" s="54">
        <f>E26+E27+E31</f>
        <v>8</v>
      </c>
      <c r="F32" s="38">
        <v>2</v>
      </c>
      <c r="G32" s="38"/>
      <c r="H32" s="38">
        <v>3</v>
      </c>
      <c r="I32" s="38"/>
      <c r="J32" s="38">
        <v>3</v>
      </c>
      <c r="K32" s="38"/>
      <c r="L32" s="38">
        <v>0</v>
      </c>
      <c r="M32" s="38"/>
      <c r="N32" s="38">
        <f>N27+N31</f>
        <v>0</v>
      </c>
      <c r="O32" s="38"/>
    </row>
    <row r="33" spans="1:15" ht="11.45" customHeight="1" x14ac:dyDescent="0.2">
      <c r="A33" s="38" t="s">
        <v>245</v>
      </c>
      <c r="B33" s="39"/>
      <c r="C33" s="39"/>
      <c r="D33" s="39"/>
      <c r="E33" s="56">
        <f>G33+I33+K33+M33+O33</f>
        <v>90.33</v>
      </c>
      <c r="F33" s="38"/>
      <c r="G33" s="56">
        <v>25</v>
      </c>
      <c r="H33" s="38"/>
      <c r="I33" s="56">
        <v>33.21</v>
      </c>
      <c r="J33" s="38"/>
      <c r="K33" s="38">
        <v>32.119999999999997</v>
      </c>
      <c r="L33" s="38"/>
      <c r="M33" s="38">
        <v>0</v>
      </c>
      <c r="N33" s="38"/>
      <c r="O33" s="38">
        <v>0</v>
      </c>
    </row>
    <row r="34" spans="1:15" ht="11.45" customHeight="1" x14ac:dyDescent="0.2">
      <c r="A34" s="38" t="s">
        <v>314</v>
      </c>
      <c r="B34" s="39"/>
      <c r="C34" s="39"/>
      <c r="D34" s="39"/>
      <c r="E34" s="54">
        <f>F34+H34+J34+L34</f>
        <v>250870.7991</v>
      </c>
      <c r="F34" s="38">
        <f>G33*$E23/100</f>
        <v>69431.75</v>
      </c>
      <c r="G34" s="38"/>
      <c r="H34" s="38">
        <f>I33*$E23/100</f>
        <v>92233.136700000003</v>
      </c>
      <c r="I34" s="38"/>
      <c r="J34" s="38">
        <f>K33*$E23/100</f>
        <v>89205.912399999987</v>
      </c>
      <c r="K34" s="38"/>
      <c r="L34" s="38">
        <f>M33*$E23/100</f>
        <v>0</v>
      </c>
      <c r="N34" s="38">
        <f>O33*$E23/100</f>
        <v>0</v>
      </c>
      <c r="O34" s="38"/>
    </row>
    <row r="35" spans="1:15" ht="11.45" customHeight="1" x14ac:dyDescent="0.2">
      <c r="A35" s="79" t="s">
        <v>313</v>
      </c>
      <c r="B35" s="80"/>
      <c r="C35" s="80"/>
      <c r="D35" s="80"/>
      <c r="E35" s="68">
        <f>G35+I35+K35+M35+O35</f>
        <v>0.90300000000000002</v>
      </c>
      <c r="F35" s="63"/>
      <c r="G35" s="68">
        <v>0.25</v>
      </c>
      <c r="H35" s="63"/>
      <c r="I35" s="68">
        <v>0.33200000000000002</v>
      </c>
      <c r="J35" s="63"/>
      <c r="K35" s="68">
        <v>0.32100000000000001</v>
      </c>
      <c r="L35" s="63"/>
      <c r="M35" s="68">
        <v>0</v>
      </c>
      <c r="N35" s="63"/>
      <c r="O35" s="63"/>
    </row>
    <row r="36" spans="1:15" ht="11.45" customHeight="1" x14ac:dyDescent="0.2">
      <c r="A36" s="81" t="s">
        <v>312</v>
      </c>
      <c r="B36" s="82"/>
      <c r="C36" s="82"/>
      <c r="D36" s="82"/>
      <c r="E36" s="59">
        <v>0.39700000000000002</v>
      </c>
      <c r="F36" s="38"/>
      <c r="G36" s="78">
        <v>0.16300000000000001</v>
      </c>
      <c r="H36" s="38"/>
      <c r="I36" s="78">
        <v>0.11700000000000001</v>
      </c>
      <c r="K36" s="62" t="s">
        <v>303</v>
      </c>
      <c r="L36" s="38"/>
      <c r="M36" s="62" t="s">
        <v>260</v>
      </c>
      <c r="N36" s="38"/>
    </row>
    <row r="37" spans="1:15" ht="11.45" customHeight="1" x14ac:dyDescent="0.2">
      <c r="A37" s="38" t="s">
        <v>240</v>
      </c>
      <c r="B37" s="39"/>
      <c r="C37" s="39"/>
      <c r="D37" s="39"/>
    </row>
    <row r="38" spans="1:15" ht="11.45" customHeight="1" x14ac:dyDescent="0.2">
      <c r="A38" s="38" t="s">
        <v>252</v>
      </c>
      <c r="B38" s="39"/>
      <c r="C38" s="39"/>
      <c r="D38" s="39"/>
    </row>
    <row r="39" spans="1:15" ht="11.45" customHeight="1" x14ac:dyDescent="0.2">
      <c r="A39" s="61" t="s">
        <v>276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11.45" customHeight="1" x14ac:dyDescent="0.2">
      <c r="A40" s="38" t="s">
        <v>253</v>
      </c>
      <c r="E40" s="28">
        <f>F40+H40+J40+L40+N40</f>
        <v>110269</v>
      </c>
      <c r="F40" s="28">
        <f>F11+F12+F14+F15</f>
        <v>45165</v>
      </c>
      <c r="G40" s="28">
        <f>F40*100/$E23</f>
        <v>16.262372761740846</v>
      </c>
      <c r="H40" s="28">
        <f>H5+H6</f>
        <v>32496</v>
      </c>
      <c r="I40" s="28">
        <f>H40*100/$E23</f>
        <v>11.700698887756682</v>
      </c>
      <c r="J40" s="28">
        <f>J8+J9</f>
        <v>32608</v>
      </c>
      <c r="K40" s="28">
        <f>J40*100/$E23</f>
        <v>11.741026259600256</v>
      </c>
      <c r="L40" s="28">
        <v>0</v>
      </c>
      <c r="M40" s="28">
        <f>L40*100/$E23</f>
        <v>0</v>
      </c>
      <c r="N40" s="28">
        <v>0</v>
      </c>
      <c r="O40" s="28">
        <f>N40*100/$E23</f>
        <v>0</v>
      </c>
    </row>
    <row r="41" spans="1:15" ht="11.45" customHeight="1" x14ac:dyDescent="0.2">
      <c r="A41" s="38" t="s">
        <v>332</v>
      </c>
      <c r="E41" s="95" t="s">
        <v>321</v>
      </c>
      <c r="F41" s="83"/>
      <c r="G41" s="95" t="s">
        <v>320</v>
      </c>
      <c r="H41" s="83"/>
      <c r="I41" s="95" t="s">
        <v>288</v>
      </c>
      <c r="J41" s="83"/>
      <c r="K41" s="95" t="s">
        <v>288</v>
      </c>
      <c r="L41" s="28"/>
      <c r="M41" s="95" t="s">
        <v>260</v>
      </c>
      <c r="N41" s="28"/>
      <c r="O41" s="95" t="s">
        <v>260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</vt:i4>
      </vt:variant>
    </vt:vector>
  </HeadingPairs>
  <TitlesOfParts>
    <vt:vector size="26" baseType="lpstr">
      <vt:lpstr>Votes</vt:lpstr>
      <vt:lpstr>Be Heard Graph</vt:lpstr>
      <vt:lpstr>ANALYSIS</vt:lpstr>
      <vt:lpstr>group 1 </vt:lpstr>
      <vt:lpstr>group 2 </vt:lpstr>
      <vt:lpstr>group 3 </vt:lpstr>
      <vt:lpstr>group 4 </vt:lpstr>
      <vt:lpstr>group 5 </vt:lpstr>
      <vt:lpstr>group 6 </vt:lpstr>
      <vt:lpstr>group 7 </vt:lpstr>
      <vt:lpstr>group 8 </vt:lpstr>
      <vt:lpstr>group 9 </vt:lpstr>
      <vt:lpstr>group 10 </vt:lpstr>
      <vt:lpstr>group 11 </vt:lpstr>
      <vt:lpstr>group 12 </vt:lpstr>
      <vt:lpstr>group 13 </vt:lpstr>
      <vt:lpstr>group 14 </vt:lpstr>
      <vt:lpstr>group 15 </vt:lpstr>
      <vt:lpstr>group 16 </vt:lpstr>
      <vt:lpstr>group 17 </vt:lpstr>
      <vt:lpstr>group 18 </vt:lpstr>
      <vt:lpstr>group 19 </vt:lpstr>
      <vt:lpstr>group 20 </vt:lpstr>
      <vt:lpstr>Feuil1</vt:lpstr>
      <vt:lpstr>ANALYSIS!Print_Area</vt:lpstr>
      <vt:lpstr>Votes!Print_Area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Dave</cp:lastModifiedBy>
  <cp:lastPrinted>2014-06-13T16:41:32Z</cp:lastPrinted>
  <dcterms:created xsi:type="dcterms:W3CDTF">2014-05-09T22:13:18Z</dcterms:created>
  <dcterms:modified xsi:type="dcterms:W3CDTF">2014-11-01T05:53:28Z</dcterms:modified>
</cp:coreProperties>
</file>